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35" windowWidth="19035" windowHeight="8520" tabRatio="921"/>
  </bookViews>
  <sheets>
    <sheet name="T.I" sheetId="26" r:id="rId1"/>
    <sheet name="T.II" sheetId="2" r:id="rId2"/>
    <sheet name="T.II.A" sheetId="55" r:id="rId3"/>
    <sheet name="T.III" sheetId="6" r:id="rId4"/>
    <sheet name="T.IV" sheetId="28" r:id="rId5"/>
    <sheet name="T.V" sheetId="27" r:id="rId6"/>
    <sheet name="T.VI" sheetId="31" r:id="rId7"/>
    <sheet name="T.VII" sheetId="29" r:id="rId8"/>
    <sheet name="T.VIII" sheetId="32" r:id="rId9"/>
    <sheet name="T.IX T.X T.XI" sheetId="12" r:id="rId10"/>
    <sheet name="T.XII" sheetId="3" r:id="rId11"/>
    <sheet name="T.XIII" sheetId="37" r:id="rId12"/>
    <sheet name="T.XIV" sheetId="40" r:id="rId13"/>
    <sheet name="T.XV" sheetId="54" r:id="rId14"/>
    <sheet name="T.XVI" sheetId="39" r:id="rId15"/>
    <sheet name="T.XVII" sheetId="34" r:id="rId16"/>
    <sheet name="T.XVIII" sheetId="41" r:id="rId17"/>
    <sheet name="T.XIX" sheetId="42" r:id="rId18"/>
    <sheet name="T.XX" sheetId="17" r:id="rId19"/>
    <sheet name="T.XXI" sheetId="43" r:id="rId20"/>
    <sheet name="T.XXII" sheetId="44" r:id="rId21"/>
    <sheet name="T.XXIII" sheetId="56" r:id="rId22"/>
    <sheet name="T.XXIV" sheetId="18" r:id="rId23"/>
    <sheet name="T.XXV" sheetId="46" r:id="rId24"/>
    <sheet name="T.XXVI" sheetId="21" r:id="rId25"/>
  </sheets>
  <calcPr calcId="145621" refMode="R1C1"/>
</workbook>
</file>

<file path=xl/calcChain.xml><?xml version="1.0" encoding="utf-8"?>
<calcChain xmlns="http://schemas.openxmlformats.org/spreadsheetml/2006/main">
  <c r="L37" i="17" l="1"/>
  <c r="L36" i="17"/>
  <c r="N36" i="17"/>
  <c r="M34" i="17"/>
  <c r="D35" i="17"/>
  <c r="O35" i="17"/>
  <c r="O34" i="17"/>
  <c r="J25" i="46"/>
  <c r="H34" i="12"/>
  <c r="H36" i="12"/>
  <c r="H35" i="12"/>
  <c r="H9" i="12"/>
  <c r="K9" i="12" s="1"/>
  <c r="H8" i="12"/>
  <c r="K8" i="12" s="1"/>
  <c r="M8" i="12"/>
  <c r="L8" i="12"/>
  <c r="J10" i="12"/>
  <c r="D28" i="37"/>
  <c r="H12" i="37"/>
  <c r="L7" i="2"/>
  <c r="K7" i="2"/>
  <c r="L15" i="56" l="1"/>
  <c r="K15" i="56"/>
  <c r="J13" i="56"/>
  <c r="D23" i="56"/>
  <c r="C23" i="56"/>
  <c r="J23" i="56"/>
  <c r="N9" i="43"/>
  <c r="Q23" i="43"/>
  <c r="P23" i="43"/>
  <c r="E35" i="17" l="1"/>
  <c r="F12" i="27" l="1"/>
  <c r="P35" i="17"/>
  <c r="M35" i="17"/>
  <c r="H17" i="41" l="1"/>
  <c r="J17" i="41"/>
  <c r="J18" i="41"/>
  <c r="L26" i="37"/>
  <c r="K26" i="37"/>
  <c r="L28" i="37"/>
  <c r="K23" i="37"/>
  <c r="K7" i="37"/>
  <c r="C43" i="39"/>
  <c r="E7" i="39"/>
  <c r="K7" i="39"/>
  <c r="R11" i="40"/>
  <c r="R14" i="40" s="1"/>
  <c r="R13" i="40"/>
  <c r="R12" i="40"/>
  <c r="Q14" i="40"/>
  <c r="Q12" i="40"/>
  <c r="Q13" i="40"/>
  <c r="Q11" i="40"/>
  <c r="M10" i="3"/>
  <c r="L10" i="3"/>
  <c r="I7" i="3"/>
  <c r="F19" i="27"/>
  <c r="G11" i="31"/>
  <c r="F11" i="27"/>
  <c r="N10" i="6"/>
  <c r="K7" i="6"/>
  <c r="M14" i="6"/>
  <c r="M13" i="6"/>
  <c r="N12" i="6"/>
  <c r="M12" i="6"/>
  <c r="H44" i="34" l="1"/>
  <c r="H43" i="34"/>
  <c r="H42" i="34"/>
  <c r="H41" i="34"/>
  <c r="H40" i="34"/>
  <c r="H38" i="34"/>
  <c r="H37" i="34"/>
  <c r="H36" i="34"/>
  <c r="H35" i="34"/>
  <c r="H34" i="34"/>
  <c r="G43" i="34"/>
  <c r="G42" i="34"/>
  <c r="G41" i="34"/>
  <c r="G40" i="34"/>
  <c r="G34" i="34"/>
  <c r="G44" i="34" l="1"/>
  <c r="E31" i="34"/>
  <c r="D31" i="34"/>
  <c r="D8" i="34"/>
  <c r="K10" i="43" l="1"/>
  <c r="K9" i="43" s="1"/>
  <c r="E43" i="39"/>
  <c r="D43" i="39"/>
  <c r="D12" i="56" l="1"/>
  <c r="C12" i="56"/>
  <c r="O15" i="56"/>
  <c r="N15" i="56"/>
  <c r="D13" i="56"/>
  <c r="C13" i="56"/>
  <c r="G22" i="56" s="1"/>
  <c r="L25" i="56" l="1"/>
  <c r="D10" i="56"/>
  <c r="H24" i="56"/>
  <c r="C10" i="56"/>
  <c r="F26" i="56" s="1"/>
  <c r="H15" i="56"/>
  <c r="K16" i="56"/>
  <c r="K17" i="56"/>
  <c r="K18" i="56"/>
  <c r="K19" i="56"/>
  <c r="K20" i="56"/>
  <c r="K21" i="56"/>
  <c r="K22" i="56"/>
  <c r="H13" i="56"/>
  <c r="L13" i="56"/>
  <c r="G15" i="56"/>
  <c r="G16" i="56"/>
  <c r="L16" i="56"/>
  <c r="G17" i="56"/>
  <c r="L17" i="56"/>
  <c r="G18" i="56"/>
  <c r="L18" i="56"/>
  <c r="G19" i="56"/>
  <c r="L19" i="56"/>
  <c r="G20" i="56"/>
  <c r="L20" i="56"/>
  <c r="G21" i="56"/>
  <c r="L21" i="56"/>
  <c r="L22" i="56"/>
  <c r="H23" i="56"/>
  <c r="L24" i="56"/>
  <c r="H25" i="56"/>
  <c r="H16" i="56"/>
  <c r="N16" i="56"/>
  <c r="H17" i="56"/>
  <c r="H18" i="56"/>
  <c r="H19" i="56"/>
  <c r="H20" i="56"/>
  <c r="H21" i="56"/>
  <c r="H22" i="56"/>
  <c r="O16" i="56"/>
  <c r="L23" i="56"/>
  <c r="J26" i="56" l="1"/>
  <c r="J12" i="56"/>
  <c r="J16" i="56"/>
  <c r="J19" i="56"/>
  <c r="J25" i="56"/>
  <c r="J15" i="56"/>
  <c r="J21" i="56"/>
  <c r="J17" i="56"/>
  <c r="J22" i="56"/>
  <c r="J18" i="56"/>
  <c r="J20" i="56"/>
  <c r="O14" i="56"/>
  <c r="J24" i="56"/>
  <c r="J11" i="56"/>
  <c r="O23" i="56"/>
  <c r="O21" i="56"/>
  <c r="O24" i="56"/>
  <c r="F24" i="56"/>
  <c r="N14" i="56"/>
  <c r="N23" i="56"/>
  <c r="F23" i="56"/>
  <c r="F21" i="56"/>
  <c r="F17" i="56"/>
  <c r="N21" i="56"/>
  <c r="F25" i="56"/>
  <c r="F13" i="56"/>
  <c r="N24" i="56"/>
  <c r="F11" i="56"/>
  <c r="F19" i="56"/>
  <c r="F15" i="56"/>
  <c r="F22" i="56"/>
  <c r="F20" i="56"/>
  <c r="F18" i="56"/>
  <c r="F16" i="56"/>
  <c r="F12" i="56"/>
  <c r="N20" i="56"/>
  <c r="O20" i="56"/>
  <c r="H12" i="56"/>
  <c r="N19" i="56"/>
  <c r="G13" i="56"/>
  <c r="L12" i="56"/>
  <c r="O19" i="56"/>
  <c r="K13" i="56"/>
  <c r="O17" i="56" l="1"/>
  <c r="J10" i="56"/>
  <c r="F10" i="56"/>
  <c r="O25" i="56"/>
  <c r="O18" i="56"/>
  <c r="N18" i="56"/>
  <c r="N17" i="56"/>
  <c r="N25" i="56"/>
  <c r="E14" i="55" l="1"/>
  <c r="M28" i="55"/>
  <c r="M27" i="55"/>
  <c r="M26" i="55"/>
  <c r="M25" i="55"/>
  <c r="M24" i="55"/>
  <c r="M23" i="55"/>
  <c r="M22" i="55"/>
  <c r="M21" i="55"/>
  <c r="M20" i="55"/>
  <c r="M19" i="55"/>
  <c r="M18" i="55"/>
  <c r="M17" i="55"/>
  <c r="M16" i="55"/>
  <c r="M15" i="55"/>
  <c r="M14" i="55"/>
  <c r="M13" i="55"/>
  <c r="M12" i="55"/>
  <c r="M11" i="55"/>
  <c r="M10" i="55"/>
  <c r="M9" i="55"/>
  <c r="M8" i="55"/>
  <c r="R25" i="55" s="1"/>
  <c r="L8" i="55"/>
  <c r="P26" i="55" s="1"/>
  <c r="L28" i="55"/>
  <c r="L27" i="55"/>
  <c r="L26" i="55"/>
  <c r="L25" i="55"/>
  <c r="L24" i="55"/>
  <c r="L23" i="55"/>
  <c r="L22" i="55"/>
  <c r="L21" i="55"/>
  <c r="L20" i="55"/>
  <c r="L19" i="55"/>
  <c r="L18" i="55"/>
  <c r="L17" i="55"/>
  <c r="L16" i="55"/>
  <c r="L15" i="55"/>
  <c r="L14" i="55"/>
  <c r="L13" i="55"/>
  <c r="L12" i="55"/>
  <c r="L11" i="55"/>
  <c r="L10" i="55"/>
  <c r="L9" i="55"/>
  <c r="H7" i="55"/>
  <c r="E28" i="55"/>
  <c r="E27" i="55"/>
  <c r="E26" i="55"/>
  <c r="E25" i="55"/>
  <c r="E24" i="55"/>
  <c r="E23" i="55"/>
  <c r="E22" i="55"/>
  <c r="E21" i="55"/>
  <c r="E20" i="55"/>
  <c r="E19" i="55"/>
  <c r="E18" i="55"/>
  <c r="E17" i="55"/>
  <c r="E16" i="55"/>
  <c r="E15" i="55"/>
  <c r="E13" i="55"/>
  <c r="E12" i="55"/>
  <c r="E11" i="55"/>
  <c r="E10" i="55"/>
  <c r="E9" i="55"/>
  <c r="E8" i="55"/>
  <c r="G9" i="55"/>
  <c r="G8" i="55"/>
  <c r="G28" i="55"/>
  <c r="G27" i="55"/>
  <c r="G26" i="55"/>
  <c r="G25" i="55"/>
  <c r="G24" i="55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F7" i="55"/>
  <c r="D7" i="55"/>
  <c r="J7" i="55"/>
  <c r="I7" i="55"/>
  <c r="O8" i="55" l="1"/>
  <c r="O11" i="55"/>
  <c r="O15" i="55"/>
  <c r="O19" i="55"/>
  <c r="O23" i="55"/>
  <c r="O27" i="55"/>
  <c r="P11" i="55"/>
  <c r="P15" i="55"/>
  <c r="P19" i="55"/>
  <c r="P23" i="55"/>
  <c r="P27" i="55"/>
  <c r="Q11" i="55"/>
  <c r="Q15" i="55"/>
  <c r="Q19" i="55"/>
  <c r="Q23" i="55"/>
  <c r="Q27" i="55"/>
  <c r="R10" i="55"/>
  <c r="R14" i="55"/>
  <c r="R18" i="55"/>
  <c r="R22" i="55"/>
  <c r="R26" i="55"/>
  <c r="P8" i="55"/>
  <c r="O12" i="55"/>
  <c r="O16" i="55"/>
  <c r="O20" i="55"/>
  <c r="O24" i="55"/>
  <c r="O28" i="55"/>
  <c r="P12" i="55"/>
  <c r="P16" i="55"/>
  <c r="P20" i="55"/>
  <c r="P24" i="55"/>
  <c r="P28" i="55"/>
  <c r="Q12" i="55"/>
  <c r="Q16" i="55"/>
  <c r="Q20" i="55"/>
  <c r="Q24" i="55"/>
  <c r="Q28" i="55"/>
  <c r="R11" i="55"/>
  <c r="R15" i="55"/>
  <c r="R19" i="55"/>
  <c r="R23" i="55"/>
  <c r="R27" i="55"/>
  <c r="O9" i="55"/>
  <c r="O13" i="55"/>
  <c r="O17" i="55"/>
  <c r="O21" i="55"/>
  <c r="O25" i="55"/>
  <c r="P9" i="55"/>
  <c r="P13" i="55"/>
  <c r="P17" i="55"/>
  <c r="P21" i="55"/>
  <c r="P25" i="55"/>
  <c r="Q9" i="55"/>
  <c r="Q13" i="55"/>
  <c r="Q17" i="55"/>
  <c r="Q21" i="55"/>
  <c r="Q25" i="55"/>
  <c r="R9" i="55"/>
  <c r="R12" i="55"/>
  <c r="R16" i="55"/>
  <c r="R20" i="55"/>
  <c r="R24" i="55"/>
  <c r="R28" i="55"/>
  <c r="Q8" i="55"/>
  <c r="O10" i="55"/>
  <c r="O14" i="55"/>
  <c r="O18" i="55"/>
  <c r="O22" i="55"/>
  <c r="O26" i="55"/>
  <c r="P10" i="55"/>
  <c r="P14" i="55"/>
  <c r="P18" i="55"/>
  <c r="P22" i="55"/>
  <c r="Q10" i="55"/>
  <c r="Q14" i="55"/>
  <c r="Q18" i="55"/>
  <c r="Q22" i="55"/>
  <c r="Q26" i="55"/>
  <c r="R8" i="55"/>
  <c r="R13" i="55"/>
  <c r="R17" i="55"/>
  <c r="R21" i="55"/>
  <c r="G7" i="55"/>
  <c r="C31" i="12" l="1"/>
  <c r="C6" i="12"/>
  <c r="C19" i="12"/>
  <c r="E31" i="12"/>
  <c r="E19" i="12"/>
  <c r="E6" i="12"/>
  <c r="G10" i="32"/>
  <c r="H10" i="32"/>
  <c r="E9" i="31" l="1"/>
  <c r="T14" i="43" l="1"/>
  <c r="AA13" i="43"/>
  <c r="O33" i="17" l="1"/>
  <c r="O32" i="17"/>
  <c r="M33" i="17"/>
  <c r="M32" i="17"/>
  <c r="M31" i="17"/>
  <c r="E35" i="28" l="1"/>
  <c r="C10" i="46" l="1"/>
  <c r="C9" i="46"/>
  <c r="C8" i="46"/>
  <c r="C7" i="46"/>
  <c r="C12" i="46"/>
  <c r="C11" i="46"/>
  <c r="C32" i="46"/>
  <c r="C31" i="46"/>
  <c r="C30" i="46"/>
  <c r="C29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3" i="46"/>
  <c r="T18" i="21"/>
  <c r="T17" i="21"/>
  <c r="T16" i="21"/>
  <c r="T15" i="21"/>
  <c r="T14" i="21"/>
  <c r="T12" i="21"/>
  <c r="T11" i="21"/>
  <c r="T10" i="21"/>
  <c r="T9" i="21"/>
  <c r="T8" i="21"/>
  <c r="T6" i="21"/>
  <c r="T5" i="21"/>
  <c r="J11" i="40" l="1"/>
  <c r="I11" i="40"/>
  <c r="D9" i="12"/>
  <c r="D8" i="12"/>
  <c r="D7" i="32"/>
  <c r="C7" i="32"/>
  <c r="E26" i="27"/>
  <c r="G17" i="6"/>
  <c r="G16" i="6"/>
  <c r="G15" i="6"/>
  <c r="G14" i="6"/>
  <c r="G13" i="6"/>
  <c r="G12" i="6"/>
  <c r="G10" i="6"/>
  <c r="G9" i="6"/>
  <c r="G7" i="6"/>
  <c r="K11" i="40" l="1"/>
  <c r="H8" i="26"/>
  <c r="E8" i="26"/>
  <c r="E9" i="26"/>
  <c r="E10" i="26"/>
  <c r="H10" i="26"/>
  <c r="C7" i="55" l="1"/>
  <c r="E7" i="55" s="1"/>
  <c r="D12" i="37" l="1"/>
  <c r="F12" i="37"/>
  <c r="G37" i="34" l="1"/>
  <c r="G36" i="34"/>
  <c r="G35" i="34"/>
  <c r="G38" i="34" l="1"/>
  <c r="F7" i="39"/>
  <c r="G7" i="39"/>
  <c r="I7" i="39"/>
  <c r="J7" i="39"/>
  <c r="L9" i="26"/>
  <c r="L8" i="26"/>
  <c r="P33" i="17"/>
  <c r="P34" i="17"/>
  <c r="G7" i="41"/>
  <c r="D29" i="37"/>
  <c r="I26" i="37"/>
  <c r="K12" i="37"/>
  <c r="H7" i="39" l="1"/>
  <c r="L28" i="3"/>
  <c r="L26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M26" i="3"/>
  <c r="L27" i="3"/>
  <c r="M27" i="3"/>
  <c r="M28" i="3"/>
  <c r="L29" i="3"/>
  <c r="M29" i="3"/>
  <c r="L30" i="3"/>
  <c r="M30" i="3"/>
  <c r="E36" i="27"/>
  <c r="F26" i="27"/>
  <c r="F9" i="27"/>
  <c r="N13" i="6"/>
  <c r="E19" i="6"/>
  <c r="I12" i="34" l="1"/>
  <c r="I30" i="34"/>
  <c r="I29" i="34"/>
  <c r="I28" i="34"/>
  <c r="I27" i="34"/>
  <c r="I26" i="34"/>
  <c r="I25" i="34"/>
  <c r="I24" i="34"/>
  <c r="I23" i="34"/>
  <c r="I22" i="34"/>
  <c r="I21" i="34"/>
  <c r="I20" i="34"/>
  <c r="I19" i="34"/>
  <c r="I18" i="34"/>
  <c r="I17" i="34"/>
  <c r="I16" i="34"/>
  <c r="I15" i="34"/>
  <c r="I14" i="34"/>
  <c r="I13" i="34"/>
  <c r="I11" i="34"/>
  <c r="I10" i="34"/>
  <c r="J12" i="34" l="1"/>
  <c r="J16" i="34"/>
  <c r="J20" i="34"/>
  <c r="J24" i="34"/>
  <c r="J28" i="34"/>
  <c r="J13" i="34"/>
  <c r="J17" i="34"/>
  <c r="J21" i="34"/>
  <c r="J25" i="34"/>
  <c r="J29" i="34"/>
  <c r="J10" i="34"/>
  <c r="J14" i="34"/>
  <c r="J18" i="34"/>
  <c r="J22" i="34"/>
  <c r="J26" i="34"/>
  <c r="J30" i="34"/>
  <c r="J11" i="34"/>
  <c r="J15" i="34"/>
  <c r="J19" i="34"/>
  <c r="J23" i="34"/>
  <c r="J27" i="34"/>
  <c r="E8" i="34"/>
  <c r="F29" i="34"/>
  <c r="K29" i="34" s="1"/>
  <c r="F30" i="34"/>
  <c r="K30" i="34" s="1"/>
  <c r="F26" i="34"/>
  <c r="K15" i="34" s="1"/>
  <c r="F22" i="34"/>
  <c r="F18" i="34"/>
  <c r="F14" i="34"/>
  <c r="K21" i="34" s="1"/>
  <c r="F11" i="34"/>
  <c r="K27" i="34" s="1"/>
  <c r="F10" i="34"/>
  <c r="K16" i="34" l="1"/>
  <c r="K18" i="34"/>
  <c r="K23" i="34"/>
  <c r="F31" i="34"/>
  <c r="F15" i="34"/>
  <c r="F19" i="34"/>
  <c r="K25" i="34" s="1"/>
  <c r="F23" i="34"/>
  <c r="K13" i="34" s="1"/>
  <c r="F27" i="34"/>
  <c r="K22" i="34" s="1"/>
  <c r="F12" i="34"/>
  <c r="K10" i="34" s="1"/>
  <c r="F16" i="34"/>
  <c r="K12" i="34" s="1"/>
  <c r="F20" i="34"/>
  <c r="F24" i="34"/>
  <c r="K14" i="34" s="1"/>
  <c r="F28" i="34"/>
  <c r="K20" i="34" s="1"/>
  <c r="F13" i="34"/>
  <c r="K28" i="34" s="1"/>
  <c r="F17" i="34"/>
  <c r="F21" i="34"/>
  <c r="K26" i="34" s="1"/>
  <c r="F25" i="34"/>
  <c r="K19" i="34" s="1"/>
  <c r="I34" i="43"/>
  <c r="H34" i="43"/>
  <c r="I33" i="43"/>
  <c r="H33" i="43"/>
  <c r="I32" i="43"/>
  <c r="H32" i="43"/>
  <c r="I31" i="43"/>
  <c r="H31" i="43"/>
  <c r="I30" i="43"/>
  <c r="H30" i="43"/>
  <c r="I29" i="43"/>
  <c r="H29" i="43"/>
  <c r="I28" i="43"/>
  <c r="H28" i="43"/>
  <c r="I27" i="43"/>
  <c r="H27" i="43"/>
  <c r="I26" i="43"/>
  <c r="H26" i="43"/>
  <c r="I25" i="43"/>
  <c r="H25" i="43"/>
  <c r="I24" i="43"/>
  <c r="H24" i="43"/>
  <c r="I23" i="43"/>
  <c r="H23" i="43"/>
  <c r="I22" i="43"/>
  <c r="H22" i="43"/>
  <c r="I21" i="43"/>
  <c r="H21" i="43"/>
  <c r="I20" i="43"/>
  <c r="H20" i="43"/>
  <c r="I19" i="43"/>
  <c r="H19" i="43"/>
  <c r="I18" i="43"/>
  <c r="H18" i="43"/>
  <c r="I17" i="43"/>
  <c r="H17" i="43"/>
  <c r="I16" i="43"/>
  <c r="H16" i="43"/>
  <c r="I15" i="43"/>
  <c r="H15" i="43"/>
  <c r="I14" i="43"/>
  <c r="H14" i="43"/>
  <c r="I13" i="43"/>
  <c r="H13" i="43"/>
  <c r="I12" i="43"/>
  <c r="H12" i="43"/>
  <c r="I11" i="43"/>
  <c r="H11" i="43"/>
  <c r="I10" i="43"/>
  <c r="H10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P12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K11" i="34" l="1"/>
  <c r="K24" i="34"/>
  <c r="F8" i="34"/>
  <c r="K17" i="34"/>
  <c r="O16" i="54"/>
  <c r="F18" i="41"/>
  <c r="G17" i="41"/>
  <c r="G16" i="41"/>
  <c r="G15" i="41"/>
  <c r="G14" i="41"/>
  <c r="G13" i="41"/>
  <c r="G12" i="41"/>
  <c r="G11" i="41"/>
  <c r="G10" i="41"/>
  <c r="G9" i="41"/>
  <c r="G8" i="41"/>
  <c r="D18" i="41"/>
  <c r="D19" i="41" s="1"/>
  <c r="D10" i="40"/>
  <c r="H10" i="37"/>
  <c r="D10" i="37"/>
  <c r="D11" i="37"/>
  <c r="D13" i="37"/>
  <c r="D14" i="37"/>
  <c r="D15" i="37"/>
  <c r="D16" i="37"/>
  <c r="D17" i="37"/>
  <c r="G26" i="37"/>
  <c r="I11" i="26"/>
  <c r="J11" i="26" s="1"/>
  <c r="I10" i="26"/>
  <c r="J10" i="26" s="1"/>
  <c r="I9" i="26"/>
  <c r="J9" i="26" s="1"/>
  <c r="I8" i="26"/>
  <c r="J8" i="26" s="1"/>
  <c r="H11" i="26"/>
  <c r="H9" i="26"/>
  <c r="E11" i="26"/>
  <c r="G20" i="41" l="1"/>
  <c r="K13" i="6"/>
  <c r="K12" i="6"/>
  <c r="K10" i="6"/>
  <c r="K9" i="6"/>
  <c r="C19" i="6" l="1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C7" i="2" l="1"/>
  <c r="E7" i="32"/>
  <c r="G8" i="31"/>
  <c r="G7" i="31"/>
  <c r="C9" i="31"/>
  <c r="C35" i="17" l="1"/>
  <c r="H11" i="41"/>
  <c r="H7" i="41"/>
  <c r="D20" i="41"/>
  <c r="E20" i="41"/>
  <c r="F20" i="41"/>
  <c r="K16" i="39"/>
  <c r="F37" i="32"/>
  <c r="D37" i="32"/>
  <c r="C37" i="32"/>
  <c r="E37" i="32"/>
  <c r="H9" i="32"/>
  <c r="H8" i="32"/>
  <c r="G9" i="32"/>
  <c r="G8" i="32"/>
  <c r="D9" i="27" l="1"/>
  <c r="F47" i="44" l="1"/>
  <c r="L12" i="37" l="1"/>
  <c r="K13" i="37"/>
  <c r="I16" i="3"/>
  <c r="I17" i="3"/>
  <c r="P12" i="37" l="1"/>
  <c r="C26" i="27"/>
  <c r="C8" i="27" s="1"/>
  <c r="F55" i="42" l="1"/>
  <c r="G58" i="42" s="1"/>
  <c r="F48" i="42"/>
  <c r="G51" i="42" s="1"/>
  <c r="F44" i="42"/>
  <c r="G47" i="42" s="1"/>
  <c r="F38" i="42"/>
  <c r="G41" i="42" s="1"/>
  <c r="F34" i="42"/>
  <c r="G37" i="42" s="1"/>
  <c r="F29" i="42"/>
  <c r="G31" i="42" s="1"/>
  <c r="F24" i="42"/>
  <c r="G28" i="42" s="1"/>
  <c r="F18" i="42"/>
  <c r="G21" i="42" s="1"/>
  <c r="F11" i="42"/>
  <c r="G14" i="42" s="1"/>
  <c r="F6" i="42"/>
  <c r="F54" i="44"/>
  <c r="G53" i="44"/>
  <c r="F43" i="44"/>
  <c r="G46" i="44" s="1"/>
  <c r="F37" i="44"/>
  <c r="G39" i="44" s="1"/>
  <c r="F33" i="44"/>
  <c r="G36" i="44" s="1"/>
  <c r="F28" i="44"/>
  <c r="G32" i="44" s="1"/>
  <c r="F23" i="44"/>
  <c r="G26" i="44" s="1"/>
  <c r="F17" i="44"/>
  <c r="G19" i="44" s="1"/>
  <c r="F10" i="44"/>
  <c r="F5" i="44"/>
  <c r="G8" i="44" s="1"/>
  <c r="F65" i="42" l="1"/>
  <c r="G43" i="42"/>
  <c r="G30" i="42"/>
  <c r="G33" i="42"/>
  <c r="G20" i="42"/>
  <c r="G23" i="42"/>
  <c r="G16" i="42"/>
  <c r="G7" i="42"/>
  <c r="G9" i="44"/>
  <c r="F59" i="44"/>
  <c r="F60" i="44" s="1"/>
  <c r="G58" i="44" s="1"/>
  <c r="G29" i="44"/>
  <c r="G30" i="44"/>
  <c r="G27" i="44"/>
  <c r="G6" i="44"/>
  <c r="G7" i="44"/>
  <c r="G56" i="42"/>
  <c r="G57" i="42"/>
  <c r="G54" i="42"/>
  <c r="G49" i="42"/>
  <c r="G50" i="42"/>
  <c r="G53" i="42"/>
  <c r="G39" i="42"/>
  <c r="G40" i="42"/>
  <c r="G19" i="42"/>
  <c r="G17" i="42"/>
  <c r="G12" i="42"/>
  <c r="G13" i="42"/>
  <c r="G8" i="42"/>
  <c r="G15" i="42"/>
  <c r="G22" i="42"/>
  <c r="G25" i="42"/>
  <c r="G32" i="42"/>
  <c r="G35" i="42"/>
  <c r="G42" i="42"/>
  <c r="G45" i="42"/>
  <c r="G52" i="42"/>
  <c r="G26" i="42"/>
  <c r="G36" i="42"/>
  <c r="G46" i="42"/>
  <c r="F60" i="42"/>
  <c r="G10" i="42"/>
  <c r="G27" i="42"/>
  <c r="G9" i="42"/>
  <c r="G13" i="44"/>
  <c r="G20" i="44"/>
  <c r="G50" i="44"/>
  <c r="G14" i="44"/>
  <c r="G21" i="44"/>
  <c r="G24" i="44"/>
  <c r="G31" i="44"/>
  <c r="G34" i="44"/>
  <c r="G41" i="44"/>
  <c r="G44" i="44"/>
  <c r="G51" i="44"/>
  <c r="G11" i="44"/>
  <c r="G15" i="44"/>
  <c r="G18" i="44"/>
  <c r="G22" i="44"/>
  <c r="G25" i="44"/>
  <c r="G35" i="44"/>
  <c r="G38" i="44"/>
  <c r="G42" i="44"/>
  <c r="G45" i="44"/>
  <c r="G48" i="44"/>
  <c r="G52" i="44"/>
  <c r="G40" i="44"/>
  <c r="G12" i="44"/>
  <c r="G16" i="44"/>
  <c r="G49" i="44"/>
  <c r="S33" i="54"/>
  <c r="R33" i="54"/>
  <c r="S32" i="54"/>
  <c r="R32" i="54"/>
  <c r="S31" i="54"/>
  <c r="R31" i="54"/>
  <c r="S30" i="54"/>
  <c r="R30" i="54"/>
  <c r="S29" i="54"/>
  <c r="R29" i="54"/>
  <c r="S28" i="54"/>
  <c r="R28" i="54"/>
  <c r="S27" i="54"/>
  <c r="R27" i="54"/>
  <c r="S26" i="54"/>
  <c r="R26" i="54"/>
  <c r="S25" i="54"/>
  <c r="R25" i="54"/>
  <c r="S24" i="54"/>
  <c r="R24" i="54"/>
  <c r="S23" i="54"/>
  <c r="R23" i="54"/>
  <c r="S22" i="54"/>
  <c r="R22" i="54"/>
  <c r="S21" i="54"/>
  <c r="R21" i="54"/>
  <c r="S20" i="54"/>
  <c r="R20" i="54"/>
  <c r="S19" i="54"/>
  <c r="R19" i="54"/>
  <c r="S18" i="54"/>
  <c r="R18" i="54"/>
  <c r="S17" i="54"/>
  <c r="R17" i="54"/>
  <c r="S16" i="54"/>
  <c r="R16" i="54"/>
  <c r="S15" i="54"/>
  <c r="R15" i="54"/>
  <c r="S14" i="54"/>
  <c r="R14" i="54"/>
  <c r="S13" i="54"/>
  <c r="R13" i="54"/>
  <c r="S12" i="54"/>
  <c r="R12" i="54"/>
  <c r="S11" i="54"/>
  <c r="R11" i="54"/>
  <c r="S10" i="54"/>
  <c r="R10" i="54"/>
  <c r="I46" i="54" s="1"/>
  <c r="J46" i="54" s="1"/>
  <c r="S9" i="54"/>
  <c r="R9" i="54"/>
  <c r="I45" i="54" s="1"/>
  <c r="J45" i="54" s="1"/>
  <c r="P33" i="54"/>
  <c r="O33" i="54"/>
  <c r="P32" i="54"/>
  <c r="O32" i="54"/>
  <c r="P31" i="54"/>
  <c r="O31" i="54"/>
  <c r="P30" i="54"/>
  <c r="O30" i="54"/>
  <c r="P29" i="54"/>
  <c r="O29" i="54"/>
  <c r="P28" i="54"/>
  <c r="O28" i="54"/>
  <c r="P27" i="54"/>
  <c r="O27" i="54"/>
  <c r="P26" i="54"/>
  <c r="O26" i="54"/>
  <c r="P25" i="54"/>
  <c r="O25" i="54"/>
  <c r="P24" i="54"/>
  <c r="O24" i="54"/>
  <c r="P23" i="54"/>
  <c r="O23" i="54"/>
  <c r="P22" i="54"/>
  <c r="O22" i="54"/>
  <c r="P21" i="54"/>
  <c r="O21" i="54"/>
  <c r="P20" i="54"/>
  <c r="O20" i="54"/>
  <c r="P19" i="54"/>
  <c r="O19" i="54"/>
  <c r="P18" i="54"/>
  <c r="O18" i="54"/>
  <c r="P17" i="54"/>
  <c r="O17" i="54"/>
  <c r="P16" i="54"/>
  <c r="P15" i="54"/>
  <c r="O15" i="54"/>
  <c r="P14" i="54"/>
  <c r="O14" i="54"/>
  <c r="P13" i="54"/>
  <c r="O13" i="54"/>
  <c r="P12" i="54"/>
  <c r="O12" i="54"/>
  <c r="P11" i="54"/>
  <c r="O11" i="54"/>
  <c r="P10" i="54"/>
  <c r="O10" i="54"/>
  <c r="P9" i="54"/>
  <c r="O9" i="54"/>
  <c r="E45" i="54" l="1"/>
  <c r="F45" i="54" s="1"/>
  <c r="C45" i="54"/>
  <c r="D45" i="54" s="1"/>
  <c r="G47" i="44"/>
  <c r="G10" i="44"/>
  <c r="G23" i="44"/>
  <c r="G33" i="44"/>
  <c r="G37" i="44"/>
  <c r="G28" i="44"/>
  <c r="G43" i="44"/>
  <c r="G54" i="44"/>
  <c r="G5" i="44"/>
  <c r="G17" i="44"/>
  <c r="F61" i="42"/>
  <c r="G59" i="42" s="1"/>
  <c r="G44" i="42"/>
  <c r="G34" i="42"/>
  <c r="G24" i="42"/>
  <c r="G29" i="42"/>
  <c r="G55" i="42"/>
  <c r="G48" i="42"/>
  <c r="G38" i="42"/>
  <c r="G18" i="42"/>
  <c r="G6" i="42"/>
  <c r="G11" i="42"/>
  <c r="P32" i="17"/>
  <c r="F10" i="40"/>
  <c r="G24" i="37"/>
  <c r="G23" i="37"/>
  <c r="H26" i="37" s="1"/>
  <c r="G59" i="44" l="1"/>
  <c r="G60" i="42"/>
  <c r="F9" i="28" l="1"/>
  <c r="L15" i="2" l="1"/>
  <c r="K15" i="2"/>
  <c r="K14" i="2"/>
  <c r="L8" i="2"/>
  <c r="K8" i="2"/>
  <c r="D7" i="46" l="1"/>
  <c r="E7" i="46"/>
  <c r="O18" i="17" l="1"/>
  <c r="F29" i="27" l="1"/>
  <c r="I29" i="37" l="1"/>
  <c r="H13" i="37"/>
  <c r="I69" i="54"/>
  <c r="J69" i="54" s="1"/>
  <c r="I68" i="54"/>
  <c r="J68" i="54" s="1"/>
  <c r="I67" i="54"/>
  <c r="J67" i="54" s="1"/>
  <c r="I66" i="54"/>
  <c r="J66" i="54" s="1"/>
  <c r="I65" i="54"/>
  <c r="J65" i="54" s="1"/>
  <c r="I64" i="54"/>
  <c r="J64" i="54" s="1"/>
  <c r="I63" i="54"/>
  <c r="J63" i="54" s="1"/>
  <c r="I62" i="54"/>
  <c r="J62" i="54" s="1"/>
  <c r="I61" i="54"/>
  <c r="J61" i="54" s="1"/>
  <c r="I60" i="54"/>
  <c r="J60" i="54" s="1"/>
  <c r="I59" i="54"/>
  <c r="J59" i="54" s="1"/>
  <c r="I58" i="54"/>
  <c r="J58" i="54" s="1"/>
  <c r="I57" i="54"/>
  <c r="J57" i="54" s="1"/>
  <c r="I56" i="54"/>
  <c r="J56" i="54" s="1"/>
  <c r="I55" i="54"/>
  <c r="J55" i="54" s="1"/>
  <c r="I54" i="54"/>
  <c r="J54" i="54" s="1"/>
  <c r="I53" i="54"/>
  <c r="J53" i="54" s="1"/>
  <c r="I52" i="54"/>
  <c r="J52" i="54" s="1"/>
  <c r="I51" i="54"/>
  <c r="J51" i="54" s="1"/>
  <c r="I50" i="54"/>
  <c r="J50" i="54" s="1"/>
  <c r="I49" i="54"/>
  <c r="J49" i="54" s="1"/>
  <c r="I48" i="54"/>
  <c r="J48" i="54" s="1"/>
  <c r="I47" i="54"/>
  <c r="J47" i="54" s="1"/>
  <c r="G69" i="54"/>
  <c r="H69" i="54" s="1"/>
  <c r="G68" i="54"/>
  <c r="H68" i="54" s="1"/>
  <c r="G67" i="54"/>
  <c r="H67" i="54" s="1"/>
  <c r="G66" i="54"/>
  <c r="H66" i="54" s="1"/>
  <c r="G65" i="54"/>
  <c r="H65" i="54" s="1"/>
  <c r="G64" i="54"/>
  <c r="H64" i="54" s="1"/>
  <c r="G63" i="54"/>
  <c r="H63" i="54" s="1"/>
  <c r="G62" i="54"/>
  <c r="H62" i="54" s="1"/>
  <c r="G61" i="54"/>
  <c r="H61" i="54" s="1"/>
  <c r="G60" i="54"/>
  <c r="H60" i="54" s="1"/>
  <c r="G59" i="54"/>
  <c r="H59" i="54" s="1"/>
  <c r="G58" i="54"/>
  <c r="H58" i="54" s="1"/>
  <c r="G57" i="54"/>
  <c r="H57" i="54" s="1"/>
  <c r="G56" i="54"/>
  <c r="H56" i="54" s="1"/>
  <c r="G55" i="54"/>
  <c r="H55" i="54" s="1"/>
  <c r="G54" i="54"/>
  <c r="H54" i="54" s="1"/>
  <c r="G53" i="54"/>
  <c r="H53" i="54" s="1"/>
  <c r="G52" i="54"/>
  <c r="H52" i="54" s="1"/>
  <c r="G51" i="54"/>
  <c r="H51" i="54" s="1"/>
  <c r="G50" i="54"/>
  <c r="H50" i="54" s="1"/>
  <c r="G49" i="54"/>
  <c r="H49" i="54" s="1"/>
  <c r="G48" i="54"/>
  <c r="H48" i="54" s="1"/>
  <c r="G47" i="54"/>
  <c r="H47" i="54" s="1"/>
  <c r="G46" i="54"/>
  <c r="H46" i="54" s="1"/>
  <c r="G45" i="54"/>
  <c r="H45" i="54" s="1"/>
  <c r="E69" i="54"/>
  <c r="F69" i="54" s="1"/>
  <c r="E68" i="54"/>
  <c r="F68" i="54" s="1"/>
  <c r="E67" i="54"/>
  <c r="F67" i="54" s="1"/>
  <c r="E66" i="54"/>
  <c r="F66" i="54" s="1"/>
  <c r="E65" i="54"/>
  <c r="F65" i="54" s="1"/>
  <c r="E64" i="54"/>
  <c r="F64" i="54" s="1"/>
  <c r="E63" i="54"/>
  <c r="F63" i="54" s="1"/>
  <c r="E62" i="54"/>
  <c r="F62" i="54" s="1"/>
  <c r="E61" i="54"/>
  <c r="F61" i="54" s="1"/>
  <c r="E60" i="54"/>
  <c r="F60" i="54" s="1"/>
  <c r="E59" i="54"/>
  <c r="F59" i="54" s="1"/>
  <c r="E58" i="54"/>
  <c r="F58" i="54" s="1"/>
  <c r="E57" i="54"/>
  <c r="F57" i="54" s="1"/>
  <c r="E56" i="54"/>
  <c r="F56" i="54" s="1"/>
  <c r="E55" i="54"/>
  <c r="F55" i="54" s="1"/>
  <c r="E54" i="54"/>
  <c r="F54" i="54" s="1"/>
  <c r="E53" i="54"/>
  <c r="F53" i="54" s="1"/>
  <c r="E52" i="54"/>
  <c r="F52" i="54" s="1"/>
  <c r="E51" i="54"/>
  <c r="F51" i="54" s="1"/>
  <c r="E50" i="54"/>
  <c r="F50" i="54" s="1"/>
  <c r="E49" i="54"/>
  <c r="F49" i="54" s="1"/>
  <c r="E48" i="54"/>
  <c r="F48" i="54" s="1"/>
  <c r="E47" i="54"/>
  <c r="F47" i="54" s="1"/>
  <c r="E46" i="54"/>
  <c r="F46" i="54" s="1"/>
  <c r="C69" i="54"/>
  <c r="D69" i="54" s="1"/>
  <c r="C68" i="54"/>
  <c r="D68" i="54" s="1"/>
  <c r="C67" i="54"/>
  <c r="D67" i="54" s="1"/>
  <c r="C66" i="54"/>
  <c r="D66" i="54" s="1"/>
  <c r="C65" i="54"/>
  <c r="D65" i="54" s="1"/>
  <c r="C64" i="54"/>
  <c r="D64" i="54" s="1"/>
  <c r="C63" i="54"/>
  <c r="D63" i="54" s="1"/>
  <c r="C62" i="54"/>
  <c r="D62" i="54" s="1"/>
  <c r="C61" i="54"/>
  <c r="D61" i="54" s="1"/>
  <c r="C60" i="54"/>
  <c r="D60" i="54" s="1"/>
  <c r="C59" i="54"/>
  <c r="D59" i="54" s="1"/>
  <c r="C58" i="54"/>
  <c r="D58" i="54" s="1"/>
  <c r="C57" i="54"/>
  <c r="D57" i="54" s="1"/>
  <c r="C56" i="54"/>
  <c r="D56" i="54" s="1"/>
  <c r="C55" i="54"/>
  <c r="D55" i="54" s="1"/>
  <c r="C54" i="54"/>
  <c r="D54" i="54" s="1"/>
  <c r="C53" i="54"/>
  <c r="D53" i="54" s="1"/>
  <c r="C52" i="54"/>
  <c r="D52" i="54" s="1"/>
  <c r="C51" i="54"/>
  <c r="D51" i="54" s="1"/>
  <c r="C50" i="54"/>
  <c r="D50" i="54" s="1"/>
  <c r="C49" i="54"/>
  <c r="D49" i="54" s="1"/>
  <c r="C48" i="54"/>
  <c r="D48" i="54" s="1"/>
  <c r="C47" i="54"/>
  <c r="D47" i="54" s="1"/>
  <c r="C46" i="54"/>
  <c r="D46" i="54" s="1"/>
  <c r="T33" i="54"/>
  <c r="Q33" i="54"/>
  <c r="T32" i="54"/>
  <c r="Q32" i="54"/>
  <c r="T31" i="54"/>
  <c r="Q31" i="54"/>
  <c r="T30" i="54"/>
  <c r="Q30" i="54"/>
  <c r="T29" i="54"/>
  <c r="Q29" i="54"/>
  <c r="T28" i="54"/>
  <c r="Q28" i="54"/>
  <c r="T27" i="54"/>
  <c r="Q27" i="54"/>
  <c r="T26" i="54"/>
  <c r="Q26" i="54"/>
  <c r="T25" i="54"/>
  <c r="Q25" i="54"/>
  <c r="T24" i="54"/>
  <c r="Q24" i="54"/>
  <c r="T23" i="54"/>
  <c r="Q23" i="54"/>
  <c r="T22" i="54"/>
  <c r="Q22" i="54"/>
  <c r="T21" i="54"/>
  <c r="Q21" i="54"/>
  <c r="T20" i="54"/>
  <c r="Q20" i="54"/>
  <c r="T19" i="54"/>
  <c r="Q19" i="54"/>
  <c r="T18" i="54"/>
  <c r="Q18" i="54"/>
  <c r="T17" i="54"/>
  <c r="Q17" i="54"/>
  <c r="T16" i="54"/>
  <c r="Q16" i="54"/>
  <c r="T15" i="54"/>
  <c r="Q15" i="54"/>
  <c r="T14" i="54"/>
  <c r="Q14" i="54"/>
  <c r="T13" i="54"/>
  <c r="Q13" i="54"/>
  <c r="T12" i="54"/>
  <c r="Q12" i="54"/>
  <c r="T11" i="54"/>
  <c r="Q11" i="54"/>
  <c r="T10" i="54"/>
  <c r="Q10" i="54"/>
  <c r="T9" i="54"/>
  <c r="Q9" i="54"/>
  <c r="S8" i="54"/>
  <c r="R8" i="54"/>
  <c r="P8" i="54"/>
  <c r="O8" i="54"/>
  <c r="N33" i="54"/>
  <c r="K33" i="54"/>
  <c r="N32" i="54"/>
  <c r="K32" i="54"/>
  <c r="N31" i="54"/>
  <c r="K31" i="54"/>
  <c r="N30" i="54"/>
  <c r="K30" i="54"/>
  <c r="N29" i="54"/>
  <c r="K29" i="54"/>
  <c r="N28" i="54"/>
  <c r="K28" i="54"/>
  <c r="N27" i="54"/>
  <c r="K27" i="54"/>
  <c r="N26" i="54"/>
  <c r="K26" i="54"/>
  <c r="N25" i="54"/>
  <c r="K25" i="54"/>
  <c r="N24" i="54"/>
  <c r="K24" i="54"/>
  <c r="N23" i="54"/>
  <c r="K23" i="54"/>
  <c r="N22" i="54"/>
  <c r="K22" i="54"/>
  <c r="N21" i="54"/>
  <c r="K21" i="54"/>
  <c r="N20" i="54"/>
  <c r="K20" i="54"/>
  <c r="N19" i="54"/>
  <c r="K19" i="54"/>
  <c r="N18" i="54"/>
  <c r="K18" i="54"/>
  <c r="N17" i="54"/>
  <c r="K17" i="54"/>
  <c r="N16" i="54"/>
  <c r="K16" i="54"/>
  <c r="N15" i="54"/>
  <c r="K15" i="54"/>
  <c r="N14" i="54"/>
  <c r="K14" i="54"/>
  <c r="N13" i="54"/>
  <c r="K13" i="54"/>
  <c r="N12" i="54"/>
  <c r="K12" i="54"/>
  <c r="N11" i="54"/>
  <c r="K11" i="54"/>
  <c r="N10" i="54"/>
  <c r="K10" i="54"/>
  <c r="N9" i="54"/>
  <c r="K9" i="54"/>
  <c r="M8" i="54"/>
  <c r="L8" i="54"/>
  <c r="J8" i="54"/>
  <c r="I8" i="54"/>
  <c r="H33" i="54"/>
  <c r="E33" i="54"/>
  <c r="H32" i="54"/>
  <c r="E32" i="54"/>
  <c r="H31" i="54"/>
  <c r="E31" i="54"/>
  <c r="H30" i="54"/>
  <c r="E30" i="54"/>
  <c r="H29" i="54"/>
  <c r="E29" i="54"/>
  <c r="H28" i="54"/>
  <c r="E28" i="54"/>
  <c r="H27" i="54"/>
  <c r="E27" i="54"/>
  <c r="H26" i="54"/>
  <c r="E26" i="54"/>
  <c r="H25" i="54"/>
  <c r="E25" i="54"/>
  <c r="H24" i="54"/>
  <c r="E24" i="54"/>
  <c r="H23" i="54"/>
  <c r="E23" i="54"/>
  <c r="H22" i="54"/>
  <c r="E22" i="54"/>
  <c r="H21" i="54"/>
  <c r="E21" i="54"/>
  <c r="H20" i="54"/>
  <c r="E20" i="54"/>
  <c r="H19" i="54"/>
  <c r="E19" i="54"/>
  <c r="H18" i="54"/>
  <c r="E18" i="54"/>
  <c r="H17" i="54"/>
  <c r="E17" i="54"/>
  <c r="H16" i="54"/>
  <c r="E16" i="54"/>
  <c r="H15" i="54"/>
  <c r="E15" i="54"/>
  <c r="H14" i="54"/>
  <c r="E14" i="54"/>
  <c r="H13" i="54"/>
  <c r="E13" i="54"/>
  <c r="H12" i="54"/>
  <c r="E12" i="54"/>
  <c r="H11" i="54"/>
  <c r="E11" i="54"/>
  <c r="H10" i="54"/>
  <c r="E10" i="54"/>
  <c r="H9" i="54"/>
  <c r="E9" i="54"/>
  <c r="G8" i="54"/>
  <c r="F8" i="54"/>
  <c r="D8" i="54"/>
  <c r="C8" i="54"/>
  <c r="K10" i="37"/>
  <c r="L10" i="37" s="1"/>
  <c r="E44" i="39"/>
  <c r="F44" i="39" s="1"/>
  <c r="E68" i="39"/>
  <c r="F68" i="39" s="1"/>
  <c r="E67" i="39"/>
  <c r="F67" i="39" s="1"/>
  <c r="E66" i="39"/>
  <c r="F66" i="39" s="1"/>
  <c r="E65" i="39"/>
  <c r="F65" i="39" s="1"/>
  <c r="E64" i="39"/>
  <c r="F64" i="39" s="1"/>
  <c r="E63" i="39"/>
  <c r="F63" i="39" s="1"/>
  <c r="E62" i="39"/>
  <c r="F62" i="39" s="1"/>
  <c r="E61" i="39"/>
  <c r="F61" i="39" s="1"/>
  <c r="E60" i="39"/>
  <c r="F60" i="39" s="1"/>
  <c r="E59" i="39"/>
  <c r="F59" i="39" s="1"/>
  <c r="E58" i="39"/>
  <c r="F58" i="39" s="1"/>
  <c r="E57" i="39"/>
  <c r="F57" i="39" s="1"/>
  <c r="E56" i="39"/>
  <c r="F56" i="39" s="1"/>
  <c r="E55" i="39"/>
  <c r="F55" i="39" s="1"/>
  <c r="E54" i="39"/>
  <c r="F54" i="39" s="1"/>
  <c r="E53" i="39"/>
  <c r="F53" i="39" s="1"/>
  <c r="E52" i="39"/>
  <c r="F52" i="39" s="1"/>
  <c r="E51" i="39"/>
  <c r="F51" i="39" s="1"/>
  <c r="E50" i="39"/>
  <c r="F50" i="39" s="1"/>
  <c r="E49" i="39"/>
  <c r="F49" i="39" s="1"/>
  <c r="E48" i="39"/>
  <c r="F48" i="39" s="1"/>
  <c r="E47" i="39"/>
  <c r="F47" i="39" s="1"/>
  <c r="E46" i="39"/>
  <c r="F46" i="39" s="1"/>
  <c r="E45" i="39"/>
  <c r="F45" i="39" s="1"/>
  <c r="E32" i="39"/>
  <c r="E31" i="39"/>
  <c r="E30" i="39"/>
  <c r="E29" i="39"/>
  <c r="E28" i="39"/>
  <c r="E27" i="39"/>
  <c r="E26" i="39"/>
  <c r="E25" i="39"/>
  <c r="E24" i="39"/>
  <c r="E23" i="39"/>
  <c r="E22" i="39"/>
  <c r="E21" i="39"/>
  <c r="E20" i="39"/>
  <c r="E19" i="39"/>
  <c r="E18" i="39"/>
  <c r="E17" i="39"/>
  <c r="E16" i="39"/>
  <c r="E15" i="39"/>
  <c r="E14" i="39"/>
  <c r="E13" i="39"/>
  <c r="E12" i="39"/>
  <c r="E11" i="39"/>
  <c r="E10" i="39"/>
  <c r="E9" i="39"/>
  <c r="E8" i="39"/>
  <c r="D7" i="39"/>
  <c r="C7" i="39"/>
  <c r="F43" i="39" s="1"/>
  <c r="G44" i="54" l="1"/>
  <c r="H44" i="54" s="1"/>
  <c r="I44" i="54"/>
  <c r="J44" i="54" s="1"/>
  <c r="Q8" i="54"/>
  <c r="E44" i="54"/>
  <c r="F44" i="54" s="1"/>
  <c r="C44" i="54"/>
  <c r="D44" i="54" s="1"/>
  <c r="K8" i="54"/>
  <c r="T8" i="54"/>
  <c r="N8" i="54"/>
  <c r="H8" i="54"/>
  <c r="E8" i="54"/>
  <c r="G17" i="32" l="1"/>
  <c r="G16" i="32"/>
  <c r="N14" i="29"/>
  <c r="O34" i="29"/>
  <c r="O33" i="29"/>
  <c r="O32" i="29"/>
  <c r="O31" i="29"/>
  <c r="O30" i="29"/>
  <c r="O29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O10" i="29"/>
  <c r="N34" i="29"/>
  <c r="N33" i="29"/>
  <c r="N32" i="29"/>
  <c r="N31" i="29"/>
  <c r="N30" i="29"/>
  <c r="N29" i="29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3" i="29"/>
  <c r="N12" i="29"/>
  <c r="N11" i="29"/>
  <c r="N10" i="29"/>
  <c r="M9" i="6" l="1"/>
  <c r="M10" i="6"/>
  <c r="J10" i="6"/>
  <c r="H9" i="18" l="1"/>
  <c r="G9" i="18"/>
  <c r="F9" i="18"/>
  <c r="E9" i="18"/>
  <c r="D9" i="18"/>
  <c r="C9" i="18"/>
  <c r="D54" i="44"/>
  <c r="D47" i="44"/>
  <c r="E51" i="44" s="1"/>
  <c r="D43" i="44"/>
  <c r="E46" i="44" s="1"/>
  <c r="D37" i="44"/>
  <c r="E42" i="44" s="1"/>
  <c r="D33" i="44"/>
  <c r="E34" i="44" s="1"/>
  <c r="D28" i="44"/>
  <c r="E30" i="44" s="1"/>
  <c r="D23" i="44"/>
  <c r="E26" i="44" s="1"/>
  <c r="D17" i="44"/>
  <c r="E22" i="44" s="1"/>
  <c r="D10" i="44"/>
  <c r="E14" i="44" s="1"/>
  <c r="D5" i="44"/>
  <c r="AA34" i="43"/>
  <c r="F34" i="43" s="1"/>
  <c r="T34" i="43"/>
  <c r="M34" i="43"/>
  <c r="Q34" i="43" s="1"/>
  <c r="L34" i="43"/>
  <c r="P34" i="43" s="1"/>
  <c r="K34" i="43"/>
  <c r="O34" i="43" s="1"/>
  <c r="AA33" i="43"/>
  <c r="T33" i="43"/>
  <c r="M33" i="43"/>
  <c r="Q33" i="43" s="1"/>
  <c r="L33" i="43"/>
  <c r="P33" i="43" s="1"/>
  <c r="F33" i="43"/>
  <c r="AA32" i="43"/>
  <c r="F32" i="43" s="1"/>
  <c r="T32" i="43"/>
  <c r="M32" i="43"/>
  <c r="Q32" i="43" s="1"/>
  <c r="L32" i="43"/>
  <c r="P32" i="43" s="1"/>
  <c r="K32" i="43"/>
  <c r="O32" i="43" s="1"/>
  <c r="AA31" i="43"/>
  <c r="F31" i="43" s="1"/>
  <c r="T31" i="43"/>
  <c r="J31" i="43" s="1"/>
  <c r="M31" i="43"/>
  <c r="Q31" i="43" s="1"/>
  <c r="L31" i="43"/>
  <c r="P31" i="43" s="1"/>
  <c r="K31" i="43"/>
  <c r="O31" i="43" s="1"/>
  <c r="AA30" i="43"/>
  <c r="F30" i="43" s="1"/>
  <c r="T30" i="43"/>
  <c r="M30" i="43"/>
  <c r="Q30" i="43" s="1"/>
  <c r="L30" i="43"/>
  <c r="P30" i="43" s="1"/>
  <c r="K30" i="43"/>
  <c r="O30" i="43" s="1"/>
  <c r="AA29" i="43"/>
  <c r="T29" i="43"/>
  <c r="M29" i="43"/>
  <c r="Q29" i="43" s="1"/>
  <c r="L29" i="43"/>
  <c r="P29" i="43" s="1"/>
  <c r="F29" i="43"/>
  <c r="AA28" i="43"/>
  <c r="F28" i="43" s="1"/>
  <c r="T28" i="43"/>
  <c r="M28" i="43"/>
  <c r="Q28" i="43" s="1"/>
  <c r="L28" i="43"/>
  <c r="P28" i="43" s="1"/>
  <c r="K28" i="43"/>
  <c r="O28" i="43" s="1"/>
  <c r="AA27" i="43"/>
  <c r="F27" i="43" s="1"/>
  <c r="T27" i="43"/>
  <c r="M27" i="43"/>
  <c r="Q27" i="43" s="1"/>
  <c r="L27" i="43"/>
  <c r="P27" i="43" s="1"/>
  <c r="K27" i="43"/>
  <c r="O27" i="43" s="1"/>
  <c r="AA26" i="43"/>
  <c r="F26" i="43" s="1"/>
  <c r="T26" i="43"/>
  <c r="M26" i="43"/>
  <c r="Q26" i="43" s="1"/>
  <c r="L26" i="43"/>
  <c r="P26" i="43" s="1"/>
  <c r="K26" i="43"/>
  <c r="O26" i="43" s="1"/>
  <c r="AA25" i="43"/>
  <c r="T25" i="43"/>
  <c r="M25" i="43"/>
  <c r="Q25" i="43" s="1"/>
  <c r="L25" i="43"/>
  <c r="P25" i="43" s="1"/>
  <c r="F25" i="43"/>
  <c r="AA24" i="43"/>
  <c r="F24" i="43" s="1"/>
  <c r="T24" i="43"/>
  <c r="M24" i="43"/>
  <c r="Q24" i="43" s="1"/>
  <c r="L24" i="43"/>
  <c r="P24" i="43" s="1"/>
  <c r="K24" i="43"/>
  <c r="O24" i="43" s="1"/>
  <c r="AA23" i="43"/>
  <c r="F23" i="43" s="1"/>
  <c r="T23" i="43"/>
  <c r="M23" i="43"/>
  <c r="L23" i="43"/>
  <c r="K23" i="43"/>
  <c r="O23" i="43" s="1"/>
  <c r="AA22" i="43"/>
  <c r="F22" i="43" s="1"/>
  <c r="T22" i="43"/>
  <c r="M22" i="43"/>
  <c r="Q22" i="43" s="1"/>
  <c r="L22" i="43"/>
  <c r="P22" i="43" s="1"/>
  <c r="K22" i="43"/>
  <c r="O22" i="43" s="1"/>
  <c r="AA21" i="43"/>
  <c r="F21" i="43" s="1"/>
  <c r="T21" i="43"/>
  <c r="M21" i="43"/>
  <c r="Q21" i="43" s="1"/>
  <c r="L21" i="43"/>
  <c r="P21" i="43" s="1"/>
  <c r="AA20" i="43"/>
  <c r="F20" i="43" s="1"/>
  <c r="T20" i="43"/>
  <c r="M20" i="43"/>
  <c r="Q20" i="43" s="1"/>
  <c r="L20" i="43"/>
  <c r="P20" i="43" s="1"/>
  <c r="K20" i="43"/>
  <c r="O20" i="43" s="1"/>
  <c r="AA19" i="43"/>
  <c r="F19" i="43" s="1"/>
  <c r="T19" i="43"/>
  <c r="M19" i="43"/>
  <c r="Q19" i="43" s="1"/>
  <c r="L19" i="43"/>
  <c r="P19" i="43" s="1"/>
  <c r="K19" i="43"/>
  <c r="O19" i="43" s="1"/>
  <c r="AA18" i="43"/>
  <c r="F18" i="43" s="1"/>
  <c r="T18" i="43"/>
  <c r="M18" i="43"/>
  <c r="Q18" i="43" s="1"/>
  <c r="L18" i="43"/>
  <c r="P18" i="43" s="1"/>
  <c r="K18" i="43"/>
  <c r="O18" i="43" s="1"/>
  <c r="AA17" i="43"/>
  <c r="F17" i="43" s="1"/>
  <c r="T17" i="43"/>
  <c r="M17" i="43"/>
  <c r="Q17" i="43" s="1"/>
  <c r="L17" i="43"/>
  <c r="P17" i="43" s="1"/>
  <c r="AA16" i="43"/>
  <c r="F16" i="43" s="1"/>
  <c r="T16" i="43"/>
  <c r="M16" i="43"/>
  <c r="Q16" i="43" s="1"/>
  <c r="L16" i="43"/>
  <c r="P16" i="43" s="1"/>
  <c r="K16" i="43"/>
  <c r="O16" i="43" s="1"/>
  <c r="AA15" i="43"/>
  <c r="F15" i="43" s="1"/>
  <c r="T15" i="43"/>
  <c r="M15" i="43"/>
  <c r="Q15" i="43" s="1"/>
  <c r="L15" i="43"/>
  <c r="P15" i="43" s="1"/>
  <c r="K15" i="43"/>
  <c r="O15" i="43" s="1"/>
  <c r="AA14" i="43"/>
  <c r="F14" i="43" s="1"/>
  <c r="M14" i="43"/>
  <c r="Q14" i="43" s="1"/>
  <c r="L14" i="43"/>
  <c r="K14" i="43"/>
  <c r="O14" i="43" s="1"/>
  <c r="T13" i="43"/>
  <c r="M13" i="43"/>
  <c r="Q13" i="43" s="1"/>
  <c r="L13" i="43"/>
  <c r="P13" i="43" s="1"/>
  <c r="F13" i="43"/>
  <c r="AA12" i="43"/>
  <c r="F12" i="43" s="1"/>
  <c r="T12" i="43"/>
  <c r="M12" i="43"/>
  <c r="Q12" i="43" s="1"/>
  <c r="L12" i="43"/>
  <c r="P12" i="43" s="1"/>
  <c r="K12" i="43"/>
  <c r="O12" i="43" s="1"/>
  <c r="AA11" i="43"/>
  <c r="F11" i="43" s="1"/>
  <c r="T11" i="43"/>
  <c r="M11" i="43"/>
  <c r="Q11" i="43" s="1"/>
  <c r="L11" i="43"/>
  <c r="P11" i="43" s="1"/>
  <c r="K11" i="43"/>
  <c r="AA10" i="43"/>
  <c r="F10" i="43" s="1"/>
  <c r="T10" i="43"/>
  <c r="L10" i="43"/>
  <c r="P10" i="43" s="1"/>
  <c r="AG9" i="43"/>
  <c r="AF9" i="43"/>
  <c r="AE9" i="43"/>
  <c r="AD9" i="43"/>
  <c r="AC9" i="43"/>
  <c r="AB9" i="43"/>
  <c r="Z9" i="43"/>
  <c r="Y9" i="43"/>
  <c r="X9" i="43"/>
  <c r="W9" i="43"/>
  <c r="V9" i="43"/>
  <c r="U9" i="43"/>
  <c r="E9" i="43"/>
  <c r="D9" i="43"/>
  <c r="C9" i="43"/>
  <c r="P31" i="17"/>
  <c r="O31" i="17"/>
  <c r="P30" i="17"/>
  <c r="O30" i="17"/>
  <c r="P29" i="17"/>
  <c r="O29" i="17"/>
  <c r="P28" i="17"/>
  <c r="O28" i="17"/>
  <c r="P27" i="17"/>
  <c r="O27" i="17"/>
  <c r="P26" i="17"/>
  <c r="O26" i="17"/>
  <c r="P25" i="17"/>
  <c r="O25" i="17"/>
  <c r="P24" i="17"/>
  <c r="O24" i="17"/>
  <c r="P23" i="17"/>
  <c r="O23" i="17"/>
  <c r="P22" i="17"/>
  <c r="O22" i="17"/>
  <c r="P21" i="17"/>
  <c r="O21" i="17"/>
  <c r="P20" i="17"/>
  <c r="O20" i="17"/>
  <c r="P19" i="17"/>
  <c r="O19" i="17"/>
  <c r="P18" i="17"/>
  <c r="P17" i="17"/>
  <c r="O17" i="17"/>
  <c r="P16" i="17"/>
  <c r="O16" i="17"/>
  <c r="P15" i="17"/>
  <c r="O15" i="17"/>
  <c r="P14" i="17"/>
  <c r="O14" i="17"/>
  <c r="P13" i="17"/>
  <c r="O13" i="17"/>
  <c r="O12" i="17"/>
  <c r="E9" i="17"/>
  <c r="D9" i="17"/>
  <c r="C9" i="17"/>
  <c r="D55" i="42"/>
  <c r="E56" i="42" s="1"/>
  <c r="D48" i="42"/>
  <c r="E54" i="42" s="1"/>
  <c r="D44" i="42"/>
  <c r="E46" i="42" s="1"/>
  <c r="D38" i="42"/>
  <c r="E42" i="42" s="1"/>
  <c r="D34" i="42"/>
  <c r="E35" i="42" s="1"/>
  <c r="D29" i="42"/>
  <c r="E30" i="42" s="1"/>
  <c r="D24" i="42"/>
  <c r="E26" i="42" s="1"/>
  <c r="D18" i="42"/>
  <c r="E22" i="42" s="1"/>
  <c r="D11" i="42"/>
  <c r="D6" i="42"/>
  <c r="D65" i="42" s="1"/>
  <c r="E18" i="41"/>
  <c r="G18" i="41" s="1"/>
  <c r="H16" i="41"/>
  <c r="H15" i="41"/>
  <c r="H14" i="41"/>
  <c r="H13" i="41"/>
  <c r="H12" i="41"/>
  <c r="H10" i="41"/>
  <c r="H9" i="41"/>
  <c r="H8" i="41"/>
  <c r="C68" i="39"/>
  <c r="D68" i="39" s="1"/>
  <c r="K32" i="39"/>
  <c r="H32" i="39"/>
  <c r="C67" i="39"/>
  <c r="D67" i="39" s="1"/>
  <c r="K31" i="39"/>
  <c r="H31" i="39"/>
  <c r="C66" i="39"/>
  <c r="D66" i="39" s="1"/>
  <c r="K30" i="39"/>
  <c r="H30" i="39"/>
  <c r="C65" i="39"/>
  <c r="D65" i="39" s="1"/>
  <c r="K29" i="39"/>
  <c r="H29" i="39"/>
  <c r="C64" i="39"/>
  <c r="D64" i="39" s="1"/>
  <c r="K28" i="39"/>
  <c r="H28" i="39"/>
  <c r="C63" i="39"/>
  <c r="D63" i="39" s="1"/>
  <c r="K27" i="39"/>
  <c r="H27" i="39"/>
  <c r="C62" i="39"/>
  <c r="D62" i="39" s="1"/>
  <c r="K26" i="39"/>
  <c r="H26" i="39"/>
  <c r="C61" i="39"/>
  <c r="D61" i="39" s="1"/>
  <c r="K25" i="39"/>
  <c r="H25" i="39"/>
  <c r="C60" i="39"/>
  <c r="D60" i="39" s="1"/>
  <c r="K24" i="39"/>
  <c r="H24" i="39"/>
  <c r="C59" i="39"/>
  <c r="D59" i="39" s="1"/>
  <c r="K23" i="39"/>
  <c r="H23" i="39"/>
  <c r="C58" i="39"/>
  <c r="D58" i="39" s="1"/>
  <c r="K22" i="39"/>
  <c r="H22" i="39"/>
  <c r="C57" i="39"/>
  <c r="D57" i="39" s="1"/>
  <c r="K21" i="39"/>
  <c r="H21" i="39"/>
  <c r="C56" i="39"/>
  <c r="D56" i="39" s="1"/>
  <c r="K20" i="39"/>
  <c r="H20" i="39"/>
  <c r="C55" i="39"/>
  <c r="D55" i="39" s="1"/>
  <c r="K19" i="39"/>
  <c r="H19" i="39"/>
  <c r="C54" i="39"/>
  <c r="D54" i="39" s="1"/>
  <c r="K18" i="39"/>
  <c r="H18" i="39"/>
  <c r="C53" i="39"/>
  <c r="D53" i="39" s="1"/>
  <c r="K17" i="39"/>
  <c r="H17" i="39"/>
  <c r="C52" i="39"/>
  <c r="D52" i="39" s="1"/>
  <c r="H16" i="39"/>
  <c r="C51" i="39"/>
  <c r="D51" i="39" s="1"/>
  <c r="K15" i="39"/>
  <c r="H15" i="39"/>
  <c r="C50" i="39"/>
  <c r="D50" i="39" s="1"/>
  <c r="K14" i="39"/>
  <c r="H14" i="39"/>
  <c r="C49" i="39"/>
  <c r="D49" i="39" s="1"/>
  <c r="K13" i="39"/>
  <c r="H13" i="39"/>
  <c r="C48" i="39"/>
  <c r="D48" i="39" s="1"/>
  <c r="K12" i="39"/>
  <c r="H12" i="39"/>
  <c r="C47" i="39"/>
  <c r="D47" i="39" s="1"/>
  <c r="K11" i="39"/>
  <c r="H11" i="39"/>
  <c r="C46" i="39"/>
  <c r="D46" i="39" s="1"/>
  <c r="K10" i="39"/>
  <c r="H10" i="39"/>
  <c r="C45" i="39"/>
  <c r="D45" i="39" s="1"/>
  <c r="K9" i="39"/>
  <c r="H9" i="39"/>
  <c r="C44" i="39"/>
  <c r="D44" i="39" s="1"/>
  <c r="K8" i="39"/>
  <c r="H8" i="39"/>
  <c r="N35" i="40"/>
  <c r="J35" i="40"/>
  <c r="H35" i="40"/>
  <c r="I35" i="40"/>
  <c r="N34" i="40"/>
  <c r="J34" i="40"/>
  <c r="H34" i="40"/>
  <c r="E34" i="40"/>
  <c r="N33" i="40"/>
  <c r="J33" i="40"/>
  <c r="H33" i="40"/>
  <c r="E33" i="40"/>
  <c r="N32" i="40"/>
  <c r="J32" i="40"/>
  <c r="H32" i="40"/>
  <c r="I32" i="40"/>
  <c r="N31" i="40"/>
  <c r="J31" i="40"/>
  <c r="H31" i="40"/>
  <c r="I31" i="40"/>
  <c r="N30" i="40"/>
  <c r="J30" i="40"/>
  <c r="H30" i="40"/>
  <c r="E30" i="40"/>
  <c r="N29" i="40"/>
  <c r="J29" i="40"/>
  <c r="H29" i="40"/>
  <c r="E29" i="40"/>
  <c r="N28" i="40"/>
  <c r="J28" i="40"/>
  <c r="H28" i="40"/>
  <c r="E28" i="40"/>
  <c r="N27" i="40"/>
  <c r="J27" i="40"/>
  <c r="H27" i="40"/>
  <c r="I27" i="40"/>
  <c r="N26" i="40"/>
  <c r="J26" i="40"/>
  <c r="H26" i="40"/>
  <c r="I26" i="40"/>
  <c r="N25" i="40"/>
  <c r="J25" i="40"/>
  <c r="H25" i="40"/>
  <c r="E25" i="40"/>
  <c r="N24" i="40"/>
  <c r="J24" i="40"/>
  <c r="H24" i="40"/>
  <c r="E24" i="40"/>
  <c r="N23" i="40"/>
  <c r="J23" i="40"/>
  <c r="H23" i="40"/>
  <c r="I23" i="40"/>
  <c r="N22" i="40"/>
  <c r="J22" i="40"/>
  <c r="H22" i="40"/>
  <c r="E22" i="40"/>
  <c r="N21" i="40"/>
  <c r="J21" i="40"/>
  <c r="H21" i="40"/>
  <c r="E21" i="40"/>
  <c r="N20" i="40"/>
  <c r="J20" i="40"/>
  <c r="H20" i="40"/>
  <c r="E20" i="40"/>
  <c r="N19" i="40"/>
  <c r="J19" i="40"/>
  <c r="H19" i="40"/>
  <c r="I19" i="40"/>
  <c r="N18" i="40"/>
  <c r="J18" i="40"/>
  <c r="H18" i="40"/>
  <c r="E18" i="40"/>
  <c r="N17" i="40"/>
  <c r="J17" i="40"/>
  <c r="H17" i="40"/>
  <c r="E17" i="40"/>
  <c r="N16" i="40"/>
  <c r="J16" i="40"/>
  <c r="H16" i="40"/>
  <c r="I16" i="40"/>
  <c r="N15" i="40"/>
  <c r="J15" i="40"/>
  <c r="H15" i="40"/>
  <c r="I15" i="40"/>
  <c r="N14" i="40"/>
  <c r="J14" i="40"/>
  <c r="H14" i="40"/>
  <c r="E14" i="40"/>
  <c r="N13" i="40"/>
  <c r="J13" i="40"/>
  <c r="H13" i="40"/>
  <c r="E13" i="40"/>
  <c r="N12" i="40"/>
  <c r="J12" i="40"/>
  <c r="H12" i="40"/>
  <c r="I12" i="40"/>
  <c r="N11" i="40"/>
  <c r="H11" i="40"/>
  <c r="M10" i="40"/>
  <c r="L10" i="40"/>
  <c r="G10" i="40"/>
  <c r="H10" i="40" s="1"/>
  <c r="I33" i="37"/>
  <c r="M33" i="37" s="1"/>
  <c r="N33" i="37" s="1"/>
  <c r="G33" i="37"/>
  <c r="K33" i="37" s="1"/>
  <c r="L33" i="37" s="1"/>
  <c r="F33" i="37"/>
  <c r="D33" i="37"/>
  <c r="I32" i="37"/>
  <c r="M32" i="37" s="1"/>
  <c r="N32" i="37" s="1"/>
  <c r="G32" i="37"/>
  <c r="K32" i="37" s="1"/>
  <c r="L32" i="37" s="1"/>
  <c r="F32" i="37"/>
  <c r="D32" i="37"/>
  <c r="I31" i="37"/>
  <c r="M31" i="37" s="1"/>
  <c r="N31" i="37" s="1"/>
  <c r="G31" i="37"/>
  <c r="K31" i="37" s="1"/>
  <c r="L31" i="37" s="1"/>
  <c r="F31" i="37"/>
  <c r="D31" i="37"/>
  <c r="I30" i="37"/>
  <c r="G30" i="37"/>
  <c r="K30" i="37" s="1"/>
  <c r="L30" i="37" s="1"/>
  <c r="F30" i="37"/>
  <c r="D30" i="37"/>
  <c r="M29" i="37"/>
  <c r="N29" i="37" s="1"/>
  <c r="G29" i="37"/>
  <c r="K29" i="37" s="1"/>
  <c r="L29" i="37" s="1"/>
  <c r="F29" i="37"/>
  <c r="I28" i="37"/>
  <c r="M28" i="37" s="1"/>
  <c r="N28" i="37" s="1"/>
  <c r="G28" i="37"/>
  <c r="K28" i="37" s="1"/>
  <c r="F28" i="37"/>
  <c r="I27" i="37"/>
  <c r="M27" i="37" s="1"/>
  <c r="N27" i="37" s="1"/>
  <c r="G27" i="37"/>
  <c r="K27" i="37" s="1"/>
  <c r="L27" i="37" s="1"/>
  <c r="F27" i="37"/>
  <c r="D27" i="37"/>
  <c r="M26" i="37"/>
  <c r="N26" i="37" s="1"/>
  <c r="F26" i="37"/>
  <c r="D26" i="37"/>
  <c r="K24" i="37"/>
  <c r="L24" i="37" s="1"/>
  <c r="I24" i="37"/>
  <c r="M24" i="37" s="1"/>
  <c r="N24" i="37" s="1"/>
  <c r="I23" i="37"/>
  <c r="M17" i="37"/>
  <c r="N17" i="37" s="1"/>
  <c r="K17" i="37"/>
  <c r="L17" i="37" s="1"/>
  <c r="J17" i="37"/>
  <c r="H17" i="37"/>
  <c r="F17" i="37"/>
  <c r="M16" i="37"/>
  <c r="N16" i="37" s="1"/>
  <c r="K16" i="37"/>
  <c r="L16" i="37" s="1"/>
  <c r="J16" i="37"/>
  <c r="H16" i="37"/>
  <c r="F16" i="37"/>
  <c r="M15" i="37"/>
  <c r="N15" i="37" s="1"/>
  <c r="K15" i="37"/>
  <c r="L15" i="37" s="1"/>
  <c r="J15" i="37"/>
  <c r="H15" i="37"/>
  <c r="F15" i="37"/>
  <c r="M14" i="37"/>
  <c r="N14" i="37" s="1"/>
  <c r="K14" i="37"/>
  <c r="L14" i="37" s="1"/>
  <c r="J14" i="37"/>
  <c r="H14" i="37"/>
  <c r="F14" i="37"/>
  <c r="M13" i="37"/>
  <c r="N13" i="37" s="1"/>
  <c r="L13" i="37"/>
  <c r="J13" i="37"/>
  <c r="F13" i="37"/>
  <c r="P13" i="37"/>
  <c r="M12" i="37"/>
  <c r="N12" i="37" s="1"/>
  <c r="J12" i="37"/>
  <c r="M11" i="37"/>
  <c r="N11" i="37" s="1"/>
  <c r="K11" i="37"/>
  <c r="L11" i="37" s="1"/>
  <c r="J11" i="37"/>
  <c r="H11" i="37"/>
  <c r="F11" i="37"/>
  <c r="M10" i="37"/>
  <c r="N10" i="37" s="1"/>
  <c r="J10" i="37"/>
  <c r="F10" i="37"/>
  <c r="P10" i="37"/>
  <c r="M8" i="37"/>
  <c r="N8" i="37" s="1"/>
  <c r="K8" i="37"/>
  <c r="L8" i="37" s="1"/>
  <c r="M7" i="37"/>
  <c r="N7" i="37" s="1"/>
  <c r="L7" i="37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J17" i="3"/>
  <c r="J16" i="3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8" i="3"/>
  <c r="J8" i="3" s="1"/>
  <c r="H7" i="3"/>
  <c r="G7" i="3"/>
  <c r="F7" i="3"/>
  <c r="E7" i="3"/>
  <c r="D7" i="3"/>
  <c r="C7" i="3"/>
  <c r="F39" i="12"/>
  <c r="D39" i="12"/>
  <c r="F23" i="12"/>
  <c r="D24" i="12"/>
  <c r="F13" i="12"/>
  <c r="D13" i="12"/>
  <c r="H36" i="32"/>
  <c r="G36" i="32"/>
  <c r="H35" i="32"/>
  <c r="G35" i="32"/>
  <c r="H34" i="32"/>
  <c r="G34" i="32"/>
  <c r="H33" i="32"/>
  <c r="G33" i="32"/>
  <c r="H32" i="32"/>
  <c r="G32" i="32"/>
  <c r="H31" i="32"/>
  <c r="G31" i="32"/>
  <c r="H30" i="32"/>
  <c r="G30" i="32"/>
  <c r="H29" i="32"/>
  <c r="G29" i="32"/>
  <c r="H28" i="32"/>
  <c r="G28" i="32"/>
  <c r="H27" i="32"/>
  <c r="G27" i="32"/>
  <c r="H26" i="32"/>
  <c r="G26" i="32"/>
  <c r="H25" i="32"/>
  <c r="G25" i="32"/>
  <c r="H24" i="32"/>
  <c r="G24" i="32"/>
  <c r="H23" i="32"/>
  <c r="G23" i="32"/>
  <c r="H22" i="32"/>
  <c r="G22" i="32"/>
  <c r="H21" i="32"/>
  <c r="G21" i="32"/>
  <c r="H20" i="32"/>
  <c r="G20" i="32"/>
  <c r="H19" i="32"/>
  <c r="G19" i="32"/>
  <c r="H18" i="32"/>
  <c r="G18" i="32"/>
  <c r="H17" i="32"/>
  <c r="H16" i="32"/>
  <c r="H15" i="32"/>
  <c r="G15" i="32"/>
  <c r="H14" i="32"/>
  <c r="G14" i="32"/>
  <c r="H13" i="32"/>
  <c r="J13" i="32" s="1"/>
  <c r="G13" i="32"/>
  <c r="H12" i="32"/>
  <c r="G12" i="32"/>
  <c r="F7" i="32"/>
  <c r="K34" i="29"/>
  <c r="L34" i="29" s="1"/>
  <c r="I34" i="29"/>
  <c r="J34" i="29" s="1"/>
  <c r="H34" i="29"/>
  <c r="E34" i="29"/>
  <c r="K33" i="29"/>
  <c r="L33" i="29" s="1"/>
  <c r="I33" i="29"/>
  <c r="J33" i="29" s="1"/>
  <c r="H33" i="29"/>
  <c r="E33" i="29"/>
  <c r="K32" i="29"/>
  <c r="L32" i="29" s="1"/>
  <c r="I32" i="29"/>
  <c r="J32" i="29" s="1"/>
  <c r="H32" i="29"/>
  <c r="E32" i="29"/>
  <c r="K31" i="29"/>
  <c r="L31" i="29" s="1"/>
  <c r="I31" i="29"/>
  <c r="J31" i="29" s="1"/>
  <c r="H31" i="29"/>
  <c r="E31" i="29"/>
  <c r="K30" i="29"/>
  <c r="L30" i="29" s="1"/>
  <c r="I30" i="29"/>
  <c r="J30" i="29" s="1"/>
  <c r="H30" i="29"/>
  <c r="E30" i="29"/>
  <c r="K29" i="29"/>
  <c r="L29" i="29" s="1"/>
  <c r="I29" i="29"/>
  <c r="J29" i="29" s="1"/>
  <c r="H29" i="29"/>
  <c r="E29" i="29"/>
  <c r="K28" i="29"/>
  <c r="L28" i="29" s="1"/>
  <c r="I28" i="29"/>
  <c r="J28" i="29" s="1"/>
  <c r="H28" i="29"/>
  <c r="E28" i="29"/>
  <c r="K27" i="29"/>
  <c r="L27" i="29" s="1"/>
  <c r="I27" i="29"/>
  <c r="J27" i="29" s="1"/>
  <c r="H27" i="29"/>
  <c r="E27" i="29"/>
  <c r="K26" i="29"/>
  <c r="L26" i="29" s="1"/>
  <c r="I26" i="29"/>
  <c r="J26" i="29" s="1"/>
  <c r="H26" i="29"/>
  <c r="E26" i="29"/>
  <c r="K25" i="29"/>
  <c r="L25" i="29" s="1"/>
  <c r="I25" i="29"/>
  <c r="J25" i="29" s="1"/>
  <c r="H25" i="29"/>
  <c r="E25" i="29"/>
  <c r="K24" i="29"/>
  <c r="L24" i="29" s="1"/>
  <c r="I24" i="29"/>
  <c r="J24" i="29" s="1"/>
  <c r="H24" i="29"/>
  <c r="E24" i="29"/>
  <c r="K23" i="29"/>
  <c r="L23" i="29" s="1"/>
  <c r="I23" i="29"/>
  <c r="J23" i="29" s="1"/>
  <c r="H23" i="29"/>
  <c r="E23" i="29"/>
  <c r="K22" i="29"/>
  <c r="L22" i="29" s="1"/>
  <c r="I22" i="29"/>
  <c r="J22" i="29" s="1"/>
  <c r="H22" i="29"/>
  <c r="E22" i="29"/>
  <c r="K21" i="29"/>
  <c r="L21" i="29" s="1"/>
  <c r="I21" i="29"/>
  <c r="J21" i="29" s="1"/>
  <c r="H21" i="29"/>
  <c r="E21" i="29"/>
  <c r="K20" i="29"/>
  <c r="L20" i="29" s="1"/>
  <c r="I20" i="29"/>
  <c r="J20" i="29" s="1"/>
  <c r="H20" i="29"/>
  <c r="E20" i="29"/>
  <c r="K19" i="29"/>
  <c r="L19" i="29" s="1"/>
  <c r="I19" i="29"/>
  <c r="J19" i="29" s="1"/>
  <c r="H19" i="29"/>
  <c r="E19" i="29"/>
  <c r="K18" i="29"/>
  <c r="L18" i="29" s="1"/>
  <c r="I18" i="29"/>
  <c r="J18" i="29" s="1"/>
  <c r="H18" i="29"/>
  <c r="E18" i="29"/>
  <c r="K17" i="29"/>
  <c r="L17" i="29" s="1"/>
  <c r="I17" i="29"/>
  <c r="J17" i="29" s="1"/>
  <c r="H17" i="29"/>
  <c r="E17" i="29"/>
  <c r="K16" i="29"/>
  <c r="L16" i="29" s="1"/>
  <c r="I16" i="29"/>
  <c r="J16" i="29" s="1"/>
  <c r="H16" i="29"/>
  <c r="E16" i="29"/>
  <c r="K15" i="29"/>
  <c r="L15" i="29" s="1"/>
  <c r="I15" i="29"/>
  <c r="J15" i="29" s="1"/>
  <c r="H15" i="29"/>
  <c r="E15" i="29"/>
  <c r="K14" i="29"/>
  <c r="L14" i="29" s="1"/>
  <c r="I14" i="29"/>
  <c r="J14" i="29" s="1"/>
  <c r="H14" i="29"/>
  <c r="E14" i="29"/>
  <c r="K13" i="29"/>
  <c r="L13" i="29" s="1"/>
  <c r="I13" i="29"/>
  <c r="J13" i="29" s="1"/>
  <c r="H13" i="29"/>
  <c r="E13" i="29"/>
  <c r="K12" i="29"/>
  <c r="L12" i="29" s="1"/>
  <c r="I12" i="29"/>
  <c r="J12" i="29" s="1"/>
  <c r="H12" i="29"/>
  <c r="E12" i="29"/>
  <c r="K11" i="29"/>
  <c r="L11" i="29" s="1"/>
  <c r="I11" i="29"/>
  <c r="J11" i="29" s="1"/>
  <c r="H11" i="29"/>
  <c r="E11" i="29"/>
  <c r="K10" i="29"/>
  <c r="L10" i="29" s="1"/>
  <c r="I10" i="29"/>
  <c r="J10" i="29" s="1"/>
  <c r="H10" i="29"/>
  <c r="E10" i="29"/>
  <c r="G9" i="29"/>
  <c r="F9" i="29"/>
  <c r="D9" i="29"/>
  <c r="C9" i="29"/>
  <c r="H13" i="31"/>
  <c r="G13" i="31"/>
  <c r="F13" i="31"/>
  <c r="D13" i="31"/>
  <c r="H12" i="31"/>
  <c r="G12" i="31"/>
  <c r="F12" i="31"/>
  <c r="D12" i="31"/>
  <c r="H11" i="31"/>
  <c r="F11" i="31"/>
  <c r="D11" i="31"/>
  <c r="G9" i="31"/>
  <c r="H8" i="31"/>
  <c r="F8" i="31"/>
  <c r="D8" i="31"/>
  <c r="H7" i="31"/>
  <c r="G44" i="27"/>
  <c r="F44" i="27"/>
  <c r="D44" i="27"/>
  <c r="G43" i="27"/>
  <c r="F43" i="27"/>
  <c r="D43" i="27"/>
  <c r="G42" i="27"/>
  <c r="F42" i="27"/>
  <c r="D42" i="27"/>
  <c r="G41" i="27"/>
  <c r="F41" i="27"/>
  <c r="D41" i="27"/>
  <c r="G40" i="27"/>
  <c r="F40" i="27"/>
  <c r="D40" i="27"/>
  <c r="G39" i="27"/>
  <c r="F39" i="27"/>
  <c r="D39" i="27"/>
  <c r="G38" i="27"/>
  <c r="F38" i="27"/>
  <c r="D38" i="27"/>
  <c r="G37" i="27"/>
  <c r="F37" i="27"/>
  <c r="D37" i="27"/>
  <c r="F36" i="27"/>
  <c r="C36" i="27"/>
  <c r="G35" i="27"/>
  <c r="F35" i="27"/>
  <c r="D35" i="27"/>
  <c r="G34" i="27"/>
  <c r="F34" i="27"/>
  <c r="D34" i="27"/>
  <c r="G33" i="27"/>
  <c r="F33" i="27"/>
  <c r="D33" i="27"/>
  <c r="G32" i="27"/>
  <c r="F32" i="27"/>
  <c r="D32" i="27"/>
  <c r="G31" i="27"/>
  <c r="F31" i="27"/>
  <c r="D31" i="27"/>
  <c r="G30" i="27"/>
  <c r="F30" i="27"/>
  <c r="D30" i="27"/>
  <c r="G29" i="27"/>
  <c r="D29" i="27"/>
  <c r="G28" i="27"/>
  <c r="F28" i="27"/>
  <c r="D28" i="27"/>
  <c r="G27" i="27"/>
  <c r="F27" i="27"/>
  <c r="D27" i="27"/>
  <c r="D26" i="27"/>
  <c r="G25" i="27"/>
  <c r="F25" i="27"/>
  <c r="D25" i="27"/>
  <c r="G24" i="27"/>
  <c r="F24" i="27"/>
  <c r="D24" i="27"/>
  <c r="G23" i="27"/>
  <c r="F23" i="27"/>
  <c r="D23" i="27"/>
  <c r="G22" i="27"/>
  <c r="F22" i="27"/>
  <c r="D22" i="27"/>
  <c r="G21" i="27"/>
  <c r="F21" i="27"/>
  <c r="D21" i="27"/>
  <c r="G20" i="27"/>
  <c r="F20" i="27"/>
  <c r="D20" i="27"/>
  <c r="G19" i="27"/>
  <c r="D19" i="27"/>
  <c r="G18" i="27"/>
  <c r="F18" i="27"/>
  <c r="D18" i="27"/>
  <c r="G17" i="27"/>
  <c r="F17" i="27"/>
  <c r="D17" i="27"/>
  <c r="G16" i="27"/>
  <c r="F16" i="27"/>
  <c r="D16" i="27"/>
  <c r="G15" i="27"/>
  <c r="F15" i="27"/>
  <c r="D15" i="27"/>
  <c r="G14" i="27"/>
  <c r="F14" i="27"/>
  <c r="D14" i="27"/>
  <c r="G12" i="27"/>
  <c r="D12" i="27"/>
  <c r="G11" i="27"/>
  <c r="D11" i="27"/>
  <c r="G7" i="27"/>
  <c r="G34" i="28"/>
  <c r="H34" i="28" s="1"/>
  <c r="G33" i="28"/>
  <c r="H33" i="28" s="1"/>
  <c r="G32" i="28"/>
  <c r="H32" i="28" s="1"/>
  <c r="G31" i="28"/>
  <c r="H31" i="28" s="1"/>
  <c r="G30" i="28"/>
  <c r="H30" i="28" s="1"/>
  <c r="G29" i="28"/>
  <c r="H29" i="28" s="1"/>
  <c r="G28" i="28"/>
  <c r="H28" i="28" s="1"/>
  <c r="G27" i="28"/>
  <c r="H27" i="28" s="1"/>
  <c r="G26" i="28"/>
  <c r="H26" i="28" s="1"/>
  <c r="G25" i="28"/>
  <c r="H25" i="28" s="1"/>
  <c r="G24" i="28"/>
  <c r="H24" i="28" s="1"/>
  <c r="G23" i="28"/>
  <c r="H23" i="28" s="1"/>
  <c r="G22" i="28"/>
  <c r="H22" i="28" s="1"/>
  <c r="G21" i="28"/>
  <c r="H21" i="28" s="1"/>
  <c r="G20" i="28"/>
  <c r="H20" i="28" s="1"/>
  <c r="G19" i="28"/>
  <c r="H19" i="28" s="1"/>
  <c r="G18" i="28"/>
  <c r="H18" i="28" s="1"/>
  <c r="G17" i="28"/>
  <c r="H17" i="28" s="1"/>
  <c r="G16" i="28"/>
  <c r="H16" i="28" s="1"/>
  <c r="G15" i="28"/>
  <c r="H15" i="28" s="1"/>
  <c r="G14" i="28"/>
  <c r="H14" i="28" s="1"/>
  <c r="G13" i="28"/>
  <c r="H13" i="28" s="1"/>
  <c r="G12" i="28"/>
  <c r="H12" i="28" s="1"/>
  <c r="G11" i="28"/>
  <c r="H11" i="28" s="1"/>
  <c r="G10" i="28"/>
  <c r="H10" i="28" s="1"/>
  <c r="D9" i="28"/>
  <c r="C9" i="28"/>
  <c r="K17" i="6"/>
  <c r="J17" i="6"/>
  <c r="F17" i="6"/>
  <c r="D17" i="6"/>
  <c r="K16" i="6"/>
  <c r="J16" i="6"/>
  <c r="F16" i="6"/>
  <c r="D16" i="6"/>
  <c r="K15" i="6"/>
  <c r="J15" i="6"/>
  <c r="F15" i="6"/>
  <c r="D15" i="6"/>
  <c r="K14" i="6"/>
  <c r="J14" i="6"/>
  <c r="F14" i="6"/>
  <c r="D14" i="6"/>
  <c r="J13" i="6"/>
  <c r="F13" i="6"/>
  <c r="D13" i="6"/>
  <c r="J12" i="6"/>
  <c r="F12" i="6"/>
  <c r="D12" i="6"/>
  <c r="F10" i="6"/>
  <c r="D10" i="6"/>
  <c r="J9" i="6"/>
  <c r="F9" i="6"/>
  <c r="D9" i="6"/>
  <c r="L32" i="2"/>
  <c r="K32" i="2"/>
  <c r="G32" i="2"/>
  <c r="F32" i="2"/>
  <c r="L31" i="2"/>
  <c r="K31" i="2"/>
  <c r="G31" i="2"/>
  <c r="F31" i="2"/>
  <c r="L30" i="2"/>
  <c r="K30" i="2"/>
  <c r="G30" i="2"/>
  <c r="F30" i="2"/>
  <c r="L29" i="2"/>
  <c r="K29" i="2"/>
  <c r="G29" i="2"/>
  <c r="F29" i="2"/>
  <c r="L28" i="2"/>
  <c r="K28" i="2"/>
  <c r="G28" i="2"/>
  <c r="F28" i="2"/>
  <c r="L27" i="2"/>
  <c r="K27" i="2"/>
  <c r="G27" i="2"/>
  <c r="F27" i="2"/>
  <c r="L26" i="2"/>
  <c r="K26" i="2"/>
  <c r="G26" i="2"/>
  <c r="F26" i="2"/>
  <c r="L25" i="2"/>
  <c r="K25" i="2"/>
  <c r="G25" i="2"/>
  <c r="F25" i="2"/>
  <c r="L24" i="2"/>
  <c r="K24" i="2"/>
  <c r="G24" i="2"/>
  <c r="F24" i="2"/>
  <c r="L23" i="2"/>
  <c r="K23" i="2"/>
  <c r="G23" i="2"/>
  <c r="F23" i="2"/>
  <c r="L22" i="2"/>
  <c r="K22" i="2"/>
  <c r="G22" i="2"/>
  <c r="F22" i="2"/>
  <c r="L21" i="2"/>
  <c r="K21" i="2"/>
  <c r="G21" i="2"/>
  <c r="F21" i="2"/>
  <c r="L20" i="2"/>
  <c r="K20" i="2"/>
  <c r="G20" i="2"/>
  <c r="F20" i="2"/>
  <c r="L19" i="2"/>
  <c r="K19" i="2"/>
  <c r="G19" i="2"/>
  <c r="F19" i="2"/>
  <c r="L18" i="2"/>
  <c r="K18" i="2"/>
  <c r="G18" i="2"/>
  <c r="F18" i="2"/>
  <c r="L17" i="2"/>
  <c r="K17" i="2"/>
  <c r="G17" i="2"/>
  <c r="F17" i="2"/>
  <c r="L16" i="2"/>
  <c r="K16" i="2"/>
  <c r="G16" i="2"/>
  <c r="F16" i="2"/>
  <c r="G15" i="2"/>
  <c r="F15" i="2"/>
  <c r="L14" i="2"/>
  <c r="G14" i="2"/>
  <c r="F14" i="2"/>
  <c r="L13" i="2"/>
  <c r="K13" i="2"/>
  <c r="G13" i="2"/>
  <c r="F13" i="2"/>
  <c r="L12" i="2"/>
  <c r="K12" i="2"/>
  <c r="G12" i="2"/>
  <c r="F12" i="2"/>
  <c r="L11" i="2"/>
  <c r="K11" i="2"/>
  <c r="G11" i="2"/>
  <c r="F11" i="2"/>
  <c r="L10" i="2"/>
  <c r="K10" i="2"/>
  <c r="G10" i="2"/>
  <c r="F10" i="2"/>
  <c r="L9" i="2"/>
  <c r="K9" i="2"/>
  <c r="G9" i="2"/>
  <c r="F9" i="2"/>
  <c r="G8" i="2"/>
  <c r="F8" i="2"/>
  <c r="E7" i="2"/>
  <c r="D7" i="2"/>
  <c r="J10" i="40" l="1"/>
  <c r="N14" i="6"/>
  <c r="D59" i="44"/>
  <c r="D60" i="44" s="1"/>
  <c r="E58" i="44" s="1"/>
  <c r="E15" i="42"/>
  <c r="D60" i="42"/>
  <c r="J7" i="3"/>
  <c r="L7" i="3"/>
  <c r="P11" i="3"/>
  <c r="O11" i="3"/>
  <c r="P15" i="3"/>
  <c r="O15" i="3"/>
  <c r="P19" i="3"/>
  <c r="O19" i="3"/>
  <c r="P23" i="3"/>
  <c r="O23" i="3"/>
  <c r="O27" i="3"/>
  <c r="P27" i="3"/>
  <c r="P12" i="3"/>
  <c r="O12" i="3"/>
  <c r="P16" i="3"/>
  <c r="O16" i="3"/>
  <c r="P20" i="3"/>
  <c r="O20" i="3"/>
  <c r="P24" i="3"/>
  <c r="O24" i="3"/>
  <c r="O28" i="3"/>
  <c r="P28" i="3"/>
  <c r="P13" i="3"/>
  <c r="O13" i="3"/>
  <c r="P17" i="3"/>
  <c r="O17" i="3"/>
  <c r="P21" i="3"/>
  <c r="O21" i="3"/>
  <c r="P25" i="3"/>
  <c r="O25" i="3"/>
  <c r="P29" i="3"/>
  <c r="O29" i="3"/>
  <c r="O10" i="3"/>
  <c r="P10" i="3"/>
  <c r="P14" i="3"/>
  <c r="O14" i="3"/>
  <c r="P18" i="3"/>
  <c r="O18" i="3"/>
  <c r="P22" i="3"/>
  <c r="O22" i="3"/>
  <c r="O26" i="3"/>
  <c r="P26" i="3"/>
  <c r="O30" i="3"/>
  <c r="P30" i="3"/>
  <c r="E9" i="28"/>
  <c r="F7" i="2"/>
  <c r="N8" i="2"/>
  <c r="AA9" i="43"/>
  <c r="F9" i="43" s="1"/>
  <c r="C10" i="40"/>
  <c r="E57" i="42"/>
  <c r="E58" i="42"/>
  <c r="E10" i="42"/>
  <c r="E8" i="42"/>
  <c r="E7" i="42"/>
  <c r="E9" i="42"/>
  <c r="O11" i="43"/>
  <c r="J33" i="37"/>
  <c r="J16" i="32"/>
  <c r="J12" i="32"/>
  <c r="J14" i="32"/>
  <c r="J17" i="32"/>
  <c r="J21" i="32"/>
  <c r="J23" i="32"/>
  <c r="J25" i="32"/>
  <c r="J27" i="32"/>
  <c r="J29" i="32"/>
  <c r="J31" i="32"/>
  <c r="J35" i="32"/>
  <c r="J19" i="32"/>
  <c r="J33" i="32"/>
  <c r="J15" i="32"/>
  <c r="K33" i="32" s="1"/>
  <c r="J18" i="32"/>
  <c r="J20" i="32"/>
  <c r="J22" i="32"/>
  <c r="J24" i="32"/>
  <c r="L21" i="32" s="1"/>
  <c r="J26" i="32"/>
  <c r="J28" i="32"/>
  <c r="J30" i="32"/>
  <c r="J32" i="32"/>
  <c r="J34" i="32"/>
  <c r="J36" i="32"/>
  <c r="E8" i="27"/>
  <c r="F8" i="27" s="1"/>
  <c r="H17" i="6"/>
  <c r="K9" i="29"/>
  <c r="L18" i="32"/>
  <c r="G7" i="32"/>
  <c r="H7" i="32"/>
  <c r="I9" i="29"/>
  <c r="J9" i="29" s="1"/>
  <c r="F9" i="31"/>
  <c r="F7" i="31" s="1"/>
  <c r="G9" i="28"/>
  <c r="H9" i="28" s="1"/>
  <c r="N9" i="6"/>
  <c r="G7" i="2"/>
  <c r="E37" i="42"/>
  <c r="E36" i="42"/>
  <c r="H18" i="41"/>
  <c r="E8" i="44"/>
  <c r="T9" i="43"/>
  <c r="J30" i="37"/>
  <c r="E48" i="44"/>
  <c r="E50" i="44"/>
  <c r="E52" i="44"/>
  <c r="E53" i="44"/>
  <c r="E49" i="44"/>
  <c r="E45" i="44"/>
  <c r="E44" i="44"/>
  <c r="E40" i="44"/>
  <c r="E41" i="44"/>
  <c r="E39" i="44"/>
  <c r="E38" i="44"/>
  <c r="E36" i="44"/>
  <c r="E35" i="44"/>
  <c r="E29" i="44"/>
  <c r="E31" i="44"/>
  <c r="E32" i="44"/>
  <c r="E27" i="44"/>
  <c r="E25" i="44"/>
  <c r="E24" i="44"/>
  <c r="E19" i="44"/>
  <c r="E20" i="44"/>
  <c r="E21" i="44"/>
  <c r="E18" i="44"/>
  <c r="E16" i="44"/>
  <c r="E13" i="44"/>
  <c r="E12" i="44"/>
  <c r="E11" i="44"/>
  <c r="E15" i="44"/>
  <c r="E9" i="44"/>
  <c r="E7" i="44"/>
  <c r="E6" i="44"/>
  <c r="J17" i="43"/>
  <c r="N17" i="43" s="1"/>
  <c r="R17" i="43" s="1"/>
  <c r="J29" i="43"/>
  <c r="N29" i="43" s="1"/>
  <c r="R29" i="43" s="1"/>
  <c r="J13" i="43"/>
  <c r="N13" i="43" s="1"/>
  <c r="R13" i="43" s="1"/>
  <c r="J21" i="43"/>
  <c r="N21" i="43" s="1"/>
  <c r="R21" i="43" s="1"/>
  <c r="J25" i="43"/>
  <c r="N25" i="43" s="1"/>
  <c r="R25" i="43" s="1"/>
  <c r="J33" i="43"/>
  <c r="N33" i="43" s="1"/>
  <c r="R33" i="43" s="1"/>
  <c r="E49" i="42"/>
  <c r="E51" i="42"/>
  <c r="E52" i="42"/>
  <c r="E53" i="42"/>
  <c r="E50" i="42"/>
  <c r="E47" i="42"/>
  <c r="E45" i="42"/>
  <c r="E41" i="42"/>
  <c r="E40" i="42"/>
  <c r="E39" i="42"/>
  <c r="E43" i="42"/>
  <c r="E32" i="42"/>
  <c r="E31" i="42"/>
  <c r="E33" i="42"/>
  <c r="E27" i="42"/>
  <c r="E28" i="42"/>
  <c r="E25" i="42"/>
  <c r="E21" i="42"/>
  <c r="E20" i="42"/>
  <c r="E19" i="42"/>
  <c r="E23" i="42"/>
  <c r="E14" i="42"/>
  <c r="E12" i="42"/>
  <c r="E17" i="42"/>
  <c r="E16" i="42"/>
  <c r="E13" i="42"/>
  <c r="F19" i="41"/>
  <c r="E19" i="41"/>
  <c r="N10" i="40"/>
  <c r="K12" i="40"/>
  <c r="K15" i="40"/>
  <c r="K16" i="40"/>
  <c r="K19" i="40"/>
  <c r="K23" i="40"/>
  <c r="K26" i="40"/>
  <c r="K27" i="40"/>
  <c r="K31" i="40"/>
  <c r="K32" i="40"/>
  <c r="K35" i="40"/>
  <c r="M30" i="37"/>
  <c r="N30" i="37" s="1"/>
  <c r="H32" i="37"/>
  <c r="J31" i="37"/>
  <c r="M23" i="37"/>
  <c r="N23" i="37" s="1"/>
  <c r="J27" i="37"/>
  <c r="J32" i="37"/>
  <c r="J26" i="37"/>
  <c r="J29" i="37"/>
  <c r="J28" i="37"/>
  <c r="H31" i="37"/>
  <c r="H28" i="37"/>
  <c r="P28" i="37" s="1"/>
  <c r="H29" i="37"/>
  <c r="H33" i="37"/>
  <c r="H27" i="37"/>
  <c r="L23" i="37"/>
  <c r="H30" i="37"/>
  <c r="F33" i="12"/>
  <c r="F34" i="12"/>
  <c r="F38" i="12"/>
  <c r="F37" i="12"/>
  <c r="F24" i="12"/>
  <c r="F22" i="12"/>
  <c r="H24" i="12" s="1"/>
  <c r="G9" i="27"/>
  <c r="I22" i="40"/>
  <c r="K22" i="40" s="1"/>
  <c r="I28" i="40"/>
  <c r="K28" i="40" s="1"/>
  <c r="I14" i="40"/>
  <c r="K14" i="40" s="1"/>
  <c r="I30" i="40"/>
  <c r="K30" i="40" s="1"/>
  <c r="I18" i="40"/>
  <c r="K18" i="40" s="1"/>
  <c r="E12" i="40"/>
  <c r="I20" i="40"/>
  <c r="K20" i="40" s="1"/>
  <c r="I24" i="40"/>
  <c r="K24" i="40" s="1"/>
  <c r="I34" i="40"/>
  <c r="K34" i="40" s="1"/>
  <c r="E16" i="40"/>
  <c r="E26" i="40"/>
  <c r="E32" i="40"/>
  <c r="F36" i="12"/>
  <c r="F35" i="12"/>
  <c r="D34" i="12"/>
  <c r="D36" i="12"/>
  <c r="D38" i="12"/>
  <c r="D33" i="12"/>
  <c r="D35" i="12"/>
  <c r="D37" i="12"/>
  <c r="F21" i="12"/>
  <c r="F25" i="12"/>
  <c r="D21" i="12"/>
  <c r="H21" i="12" s="1"/>
  <c r="D23" i="12"/>
  <c r="D25" i="12"/>
  <c r="D22" i="12"/>
  <c r="F10" i="12"/>
  <c r="F11" i="12"/>
  <c r="F8" i="12"/>
  <c r="F12" i="12"/>
  <c r="F9" i="12"/>
  <c r="D10" i="12"/>
  <c r="D6" i="12" s="1"/>
  <c r="D12" i="12"/>
  <c r="D11" i="12"/>
  <c r="H9" i="29"/>
  <c r="L9" i="29"/>
  <c r="E9" i="29"/>
  <c r="H9" i="31"/>
  <c r="D9" i="31"/>
  <c r="D7" i="31" s="1"/>
  <c r="G36" i="27"/>
  <c r="D36" i="27"/>
  <c r="G26" i="27"/>
  <c r="D8" i="27"/>
  <c r="H9" i="6"/>
  <c r="H10" i="6"/>
  <c r="H12" i="6"/>
  <c r="H14" i="6"/>
  <c r="H16" i="6"/>
  <c r="H13" i="6"/>
  <c r="H15" i="6"/>
  <c r="E11" i="40"/>
  <c r="I13" i="40"/>
  <c r="K13" i="40" s="1"/>
  <c r="E15" i="40"/>
  <c r="I17" i="40"/>
  <c r="K17" i="40" s="1"/>
  <c r="E19" i="40"/>
  <c r="I21" i="40"/>
  <c r="K21" i="40" s="1"/>
  <c r="E23" i="40"/>
  <c r="I25" i="40"/>
  <c r="K25" i="40" s="1"/>
  <c r="E27" i="40"/>
  <c r="I29" i="40"/>
  <c r="K29" i="40" s="1"/>
  <c r="E31" i="40"/>
  <c r="I33" i="40"/>
  <c r="K33" i="40" s="1"/>
  <c r="E35" i="40"/>
  <c r="O8" i="2"/>
  <c r="O9" i="2"/>
  <c r="N9" i="2"/>
  <c r="N10" i="2"/>
  <c r="O10" i="2"/>
  <c r="O11" i="2"/>
  <c r="N11" i="2"/>
  <c r="N12" i="2"/>
  <c r="O12" i="2"/>
  <c r="O13" i="2"/>
  <c r="N13" i="2"/>
  <c r="N14" i="2"/>
  <c r="O14" i="2"/>
  <c r="O15" i="2"/>
  <c r="N15" i="2"/>
  <c r="O16" i="2"/>
  <c r="N16" i="2"/>
  <c r="N17" i="2"/>
  <c r="O17" i="2"/>
  <c r="N18" i="2"/>
  <c r="O18" i="2"/>
  <c r="O19" i="2"/>
  <c r="N19" i="2"/>
  <c r="N20" i="2"/>
  <c r="O20" i="2"/>
  <c r="O21" i="2"/>
  <c r="N21" i="2"/>
  <c r="O22" i="2"/>
  <c r="N22" i="2"/>
  <c r="O23" i="2"/>
  <c r="N23" i="2"/>
  <c r="O24" i="2"/>
  <c r="N24" i="2"/>
  <c r="O25" i="2"/>
  <c r="N25" i="2"/>
  <c r="O26" i="2"/>
  <c r="N26" i="2"/>
  <c r="N27" i="2"/>
  <c r="O27" i="2"/>
  <c r="O28" i="2"/>
  <c r="N28" i="2"/>
  <c r="N29" i="2"/>
  <c r="O29" i="2"/>
  <c r="O30" i="2"/>
  <c r="N30" i="2"/>
  <c r="O31" i="2"/>
  <c r="N31" i="2"/>
  <c r="N32" i="2"/>
  <c r="O32" i="2"/>
  <c r="J32" i="43"/>
  <c r="N32" i="43" s="1"/>
  <c r="R32" i="43" s="1"/>
  <c r="J27" i="43"/>
  <c r="N27" i="43" s="1"/>
  <c r="R27" i="43" s="1"/>
  <c r="O10" i="43"/>
  <c r="G9" i="43"/>
  <c r="J9" i="43" s="1"/>
  <c r="I9" i="43"/>
  <c r="J11" i="43"/>
  <c r="N11" i="43" s="1"/>
  <c r="R11" i="43" s="1"/>
  <c r="J12" i="43"/>
  <c r="N12" i="43" s="1"/>
  <c r="R12" i="43" s="1"/>
  <c r="J15" i="43"/>
  <c r="N15" i="43" s="1"/>
  <c r="R15" i="43" s="1"/>
  <c r="J28" i="43"/>
  <c r="N28" i="43" s="1"/>
  <c r="R28" i="43" s="1"/>
  <c r="H9" i="43"/>
  <c r="J19" i="43"/>
  <c r="N19" i="43" s="1"/>
  <c r="R19" i="43" s="1"/>
  <c r="J20" i="43"/>
  <c r="N20" i="43" s="1"/>
  <c r="R20" i="43" s="1"/>
  <c r="J24" i="43"/>
  <c r="N24" i="43" s="1"/>
  <c r="R24" i="43" s="1"/>
  <c r="N31" i="43"/>
  <c r="R31" i="43" s="1"/>
  <c r="J16" i="43"/>
  <c r="N16" i="43" s="1"/>
  <c r="R16" i="43" s="1"/>
  <c r="J23" i="43"/>
  <c r="N23" i="43" s="1"/>
  <c r="R23" i="43" s="1"/>
  <c r="P14" i="43"/>
  <c r="L9" i="43"/>
  <c r="P9" i="43" s="1"/>
  <c r="M10" i="43"/>
  <c r="K17" i="43"/>
  <c r="O17" i="43" s="1"/>
  <c r="K25" i="43"/>
  <c r="O25" i="43" s="1"/>
  <c r="K33" i="43"/>
  <c r="O33" i="43" s="1"/>
  <c r="K13" i="43"/>
  <c r="O13" i="43" s="1"/>
  <c r="K21" i="43"/>
  <c r="O21" i="43" s="1"/>
  <c r="K29" i="43"/>
  <c r="O29" i="43" s="1"/>
  <c r="J10" i="43"/>
  <c r="N10" i="43" s="1"/>
  <c r="R10" i="43" s="1"/>
  <c r="J14" i="43"/>
  <c r="N14" i="43" s="1"/>
  <c r="R14" i="43" s="1"/>
  <c r="J18" i="43"/>
  <c r="N18" i="43" s="1"/>
  <c r="R18" i="43" s="1"/>
  <c r="J22" i="43"/>
  <c r="N22" i="43" s="1"/>
  <c r="R22" i="43" s="1"/>
  <c r="J26" i="43"/>
  <c r="N26" i="43" s="1"/>
  <c r="R26" i="43" s="1"/>
  <c r="J30" i="43"/>
  <c r="N30" i="43" s="1"/>
  <c r="R30" i="43" s="1"/>
  <c r="J34" i="43"/>
  <c r="N34" i="43" s="1"/>
  <c r="R34" i="43" s="1"/>
  <c r="J34" i="12" l="1"/>
  <c r="I34" i="12"/>
  <c r="K26" i="32"/>
  <c r="K28" i="32"/>
  <c r="K19" i="32"/>
  <c r="K14" i="32"/>
  <c r="L35" i="32"/>
  <c r="L13" i="32"/>
  <c r="K17" i="32"/>
  <c r="L26" i="32"/>
  <c r="K35" i="32"/>
  <c r="L20" i="32"/>
  <c r="K25" i="32"/>
  <c r="L34" i="32"/>
  <c r="L23" i="32"/>
  <c r="L12" i="32"/>
  <c r="K20" i="32"/>
  <c r="L29" i="32"/>
  <c r="K34" i="32"/>
  <c r="K27" i="32"/>
  <c r="K24" i="32"/>
  <c r="L17" i="32"/>
  <c r="L33" i="32"/>
  <c r="K21" i="32"/>
  <c r="L14" i="32"/>
  <c r="L30" i="32"/>
  <c r="K18" i="32"/>
  <c r="L19" i="32"/>
  <c r="K15" i="32"/>
  <c r="L28" i="32"/>
  <c r="K22" i="32"/>
  <c r="K32" i="32"/>
  <c r="L25" i="32"/>
  <c r="K13" i="32"/>
  <c r="K29" i="32"/>
  <c r="L22" i="32"/>
  <c r="K16" i="32"/>
  <c r="K30" i="32"/>
  <c r="L27" i="32"/>
  <c r="K36" i="32"/>
  <c r="L36" i="32"/>
  <c r="L15" i="32"/>
  <c r="L24" i="32"/>
  <c r="K12" i="32"/>
  <c r="L32" i="32"/>
  <c r="E11" i="42"/>
  <c r="D61" i="42"/>
  <c r="E59" i="42" s="1"/>
  <c r="E6" i="42"/>
  <c r="R9" i="43"/>
  <c r="O9" i="43"/>
  <c r="G19" i="41"/>
  <c r="K31" i="32"/>
  <c r="L31" i="32"/>
  <c r="K23" i="32"/>
  <c r="L16" i="32"/>
  <c r="F31" i="12"/>
  <c r="I10" i="40"/>
  <c r="E28" i="44"/>
  <c r="E37" i="44"/>
  <c r="E17" i="44"/>
  <c r="E43" i="44"/>
  <c r="E54" i="44"/>
  <c r="E10" i="44"/>
  <c r="E33" i="44"/>
  <c r="E47" i="44"/>
  <c r="E5" i="44"/>
  <c r="E23" i="44"/>
  <c r="E34" i="42"/>
  <c r="E55" i="42"/>
  <c r="E44" i="42"/>
  <c r="E38" i="42"/>
  <c r="E29" i="42"/>
  <c r="E18" i="42"/>
  <c r="E24" i="42"/>
  <c r="E48" i="42"/>
  <c r="H19" i="41"/>
  <c r="D31" i="12"/>
  <c r="D19" i="12"/>
  <c r="F19" i="12"/>
  <c r="F6" i="12"/>
  <c r="G8" i="27"/>
  <c r="E10" i="40"/>
  <c r="M9" i="43"/>
  <c r="Q9" i="43" s="1"/>
  <c r="Q10" i="43"/>
  <c r="E59" i="44" l="1"/>
  <c r="E60" i="42"/>
  <c r="K10" i="40"/>
</calcChain>
</file>

<file path=xl/sharedStrings.xml><?xml version="1.0" encoding="utf-8"?>
<sst xmlns="http://schemas.openxmlformats.org/spreadsheetml/2006/main" count="1374" uniqueCount="592">
  <si>
    <t>osoby poprzednio pracujące</t>
  </si>
  <si>
    <t>w tym:</t>
  </si>
  <si>
    <t>osoby dotychczas nie pracujące</t>
  </si>
  <si>
    <t>Wyszczególnienie</t>
  </si>
  <si>
    <t>ogółem</t>
  </si>
  <si>
    <t>kobiety</t>
  </si>
  <si>
    <t>mężczyźni</t>
  </si>
  <si>
    <t>według wieku:</t>
  </si>
  <si>
    <t>25-34 lat</t>
  </si>
  <si>
    <t>35-44 lat</t>
  </si>
  <si>
    <t>45-54 lat</t>
  </si>
  <si>
    <t>55 lat i więcej</t>
  </si>
  <si>
    <t>według poziomu wykształcenia</t>
  </si>
  <si>
    <t>wyzsze</t>
  </si>
  <si>
    <t>policealne i średnie zawodowe</t>
  </si>
  <si>
    <t>średnie ogólnokształcace</t>
  </si>
  <si>
    <t>zasadnicze-zawodowe</t>
  </si>
  <si>
    <t>gimnazjalne, podstawowe i niepełne podstawowe</t>
  </si>
  <si>
    <t>www.stat.gov.pl, Bank Danych Lokalnych.</t>
  </si>
  <si>
    <t>zasiłki dla bezrobotnych</t>
  </si>
  <si>
    <t>inne</t>
  </si>
  <si>
    <t>Powiaty</t>
  </si>
  <si>
    <t>województwo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</si>
  <si>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</si>
  <si>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</si>
  <si>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</si>
  <si>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</si>
  <si>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</si>
  <si>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</si>
  <si>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</si>
  <si>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</si>
  <si>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</si>
  <si>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</si>
  <si>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</si>
  <si>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</si>
  <si>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</si>
  <si>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</si>
  <si>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</si>
  <si>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</si>
  <si>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</si>
  <si>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</si>
  <si>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</si>
  <si>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</si>
  <si>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</si>
  <si>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Krosno</t>
  </si>
  <si>
    <t>Przemyśl</t>
  </si>
  <si>
    <t>Rzeszów</t>
  </si>
  <si>
    <t>Tarnobrzeg</t>
  </si>
  <si>
    <t>przy pracach interwencyjnych</t>
  </si>
  <si>
    <t>przy robotach publicznych</t>
  </si>
  <si>
    <t>bezrobotni skierowani na staż</t>
  </si>
  <si>
    <t>osoby zatrudnione</t>
  </si>
  <si>
    <t>bezrobotni, którzy rozpoczęli prace społecznie użyteczne</t>
  </si>
  <si>
    <t>bezrobotni, którzy podjęli działalność gospodarczą</t>
  </si>
  <si>
    <t>Razem</t>
  </si>
  <si>
    <t>pracy subsydiowanej</t>
  </si>
  <si>
    <t>z sektora publicznego</t>
  </si>
  <si>
    <t>w tym</t>
  </si>
  <si>
    <t>Ogółem</t>
  </si>
  <si>
    <t>18-24</t>
  </si>
  <si>
    <t>25-34</t>
  </si>
  <si>
    <t>35-44</t>
  </si>
  <si>
    <t>45-54</t>
  </si>
  <si>
    <t>55-59</t>
  </si>
  <si>
    <t>do 1 roku</t>
  </si>
  <si>
    <t>bez stażu pracy</t>
  </si>
  <si>
    <t>30 lat i więcej</t>
  </si>
  <si>
    <t>w liczbach bezwzgędnych</t>
  </si>
  <si>
    <t>z tego w przedziałach wieku</t>
  </si>
  <si>
    <t>60 lat i więcej</t>
  </si>
  <si>
    <t>z tego z wykształceniem</t>
  </si>
  <si>
    <t>wyższym</t>
  </si>
  <si>
    <t>policealnym i średnim zawodowym</t>
  </si>
  <si>
    <t>średnim ogólnokształcącym</t>
  </si>
  <si>
    <t>zasadniczym zawodowym</t>
  </si>
  <si>
    <t>gimnazjalnym i poniżej</t>
  </si>
  <si>
    <t>od 1 do 5 lat</t>
  </si>
  <si>
    <t>od 5 do 10 lat</t>
  </si>
  <si>
    <t>od 10 do 20 lat</t>
  </si>
  <si>
    <t>od 20 do 30 lat</t>
  </si>
  <si>
    <t>w tym osoby, które podjęły pracę</t>
  </si>
  <si>
    <t>- po raz pierwszy</t>
  </si>
  <si>
    <t>- po raz kolejny  (od 1990 r.)</t>
  </si>
  <si>
    <t>- po pracach interwencyjnych</t>
  </si>
  <si>
    <t>- po robotach publicznych</t>
  </si>
  <si>
    <t>- po stażu</t>
  </si>
  <si>
    <t>- po szkoleniu</t>
  </si>
  <si>
    <t>- podjęcia pracy w ramach refundacji kosztów zatrudnienia bezrobotnego</t>
  </si>
  <si>
    <t>- rozpoczęcia szkolenia</t>
  </si>
  <si>
    <t>- rozpoczęcia stażu</t>
  </si>
  <si>
    <t>- rozpoczęcia przygotowania zawodowego dorosłych</t>
  </si>
  <si>
    <t>- rozpoczęcia pracy społecznie użytecznej</t>
  </si>
  <si>
    <t>- nabycia praw emerytalnych lub rentowych</t>
  </si>
  <si>
    <t>- nabycia uprawnień do świadczenia przedemerytalnego</t>
  </si>
  <si>
    <t>- po odbyciu przygotowania zawodowego dorosłych</t>
  </si>
  <si>
    <t>- podjęcia pracy poza miejscem zamieszkania w ramach bonu na zasiedlenie</t>
  </si>
  <si>
    <t>- odmowy ustalenia profilu pomocy</t>
  </si>
  <si>
    <t>- skierowania do agencji zatrudnienia w ramach zlecania działań aktywizacyjnych</t>
  </si>
  <si>
    <t>- dobrowolnej rezygnacji ze statusu bezrobotnego</t>
  </si>
  <si>
    <t>- podjęcia nauki</t>
  </si>
  <si>
    <t>- osiągnięcia wieku emerytalnego</t>
  </si>
  <si>
    <t>- innych</t>
  </si>
  <si>
    <t>---</t>
  </si>
  <si>
    <t>w tym kobiety</t>
  </si>
  <si>
    <t>od 31 do 50 roku życia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</si>
  <si>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</si>
  <si>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</si>
  <si>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</si>
  <si>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</si>
  <si>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</si>
  <si>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</si>
  <si>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</si>
  <si>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</si>
  <si>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</si>
  <si>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</si>
  <si>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</si>
  <si>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wzrost-spadek*</t>
  </si>
  <si>
    <t>kategorie</t>
  </si>
  <si>
    <t>w tym osoby zwolnione z przyczyn dotyczących zakładu pracy</t>
  </si>
  <si>
    <t>w liczbach</t>
  </si>
  <si>
    <t>bezrobotni ogółem</t>
  </si>
  <si>
    <t>liczba</t>
  </si>
  <si>
    <t>powiaty</t>
  </si>
  <si>
    <t>wzrost/spadek</t>
  </si>
  <si>
    <t>LICZBA BEZROBOTNYCH</t>
  </si>
  <si>
    <t>STOPA BEZROBOCIA</t>
  </si>
  <si>
    <t>wzrost/spadek (liczba)</t>
  </si>
  <si>
    <t>*Bank Danych Loklanych www.stat.gov.pl</t>
  </si>
  <si>
    <t>nowo zarejestrowani bezrobotni "napływ"</t>
  </si>
  <si>
    <t xml:space="preserve">  z tego rejestrujący się:</t>
  </si>
  <si>
    <t xml:space="preserve">   w tym powracający do rejestracji:</t>
  </si>
  <si>
    <t>- po pracach społecznie użytecznych</t>
  </si>
  <si>
    <t>"napływ" bezrobotnych</t>
  </si>
  <si>
    <t>bezrobotni wyłączeni z rejestru "odpływ" (ogółem)</t>
  </si>
  <si>
    <t>wyłączeni z rejestru z utratą statusu bezrobotnych</t>
  </si>
  <si>
    <t>z powodu podjęcia pracy</t>
  </si>
  <si>
    <t>- pracy niesubsydiowanej</t>
  </si>
  <si>
    <t>- pracy subsydiowanej:</t>
  </si>
  <si>
    <t xml:space="preserve">   pracy subsydiowanej z tytułu:</t>
  </si>
  <si>
    <t>-  prac interwencyjnych</t>
  </si>
  <si>
    <t>-  robót publicznych</t>
  </si>
  <si>
    <t>-  otrzymania dotacji na uruchomienie działalności gospodarczej</t>
  </si>
  <si>
    <t>w tym bonu na zasiedlenie</t>
  </si>
  <si>
    <t>- podjęcia pracy w ramach bonu zatrudnieniowego</t>
  </si>
  <si>
    <t>- podjęcia pracy w ramach świadczenia aktywizacyjnego</t>
  </si>
  <si>
    <t>- podjęcia pracy w ramach grantu na telepracę</t>
  </si>
  <si>
    <t>- podjęcia pracy w ramach refundacji składek na ubezpieczenia społeczne</t>
  </si>
  <si>
    <t>- podjęcia pracy w ramach dofinansowania wynagrodzenia za zatrudnienie skierowanego bezrobotnego powyżej 50 roku życia</t>
  </si>
  <si>
    <t xml:space="preserve"> z innego powodu niż podjęcie pracy</t>
  </si>
  <si>
    <t>- odmowy bez uzasadnionej przyczyny przyjęcia propozycji odpowiedniej pracy lub innej formy pomocy, w tym w ramach Programu Aktywizacja i Integracja</t>
  </si>
  <si>
    <t>- nie potwierdzenia gotowości do pracy</t>
  </si>
  <si>
    <t>w tym w ramach bonu szkoleniowego</t>
  </si>
  <si>
    <t>w tym w ramach bonu stażowego</t>
  </si>
  <si>
    <t>w tym w ramach Programu Aktywizacja i Integracja</t>
  </si>
  <si>
    <t xml:space="preserve"> - inne (podjęcia pracy subsydiowanej)</t>
  </si>
  <si>
    <t>Kategorie</t>
  </si>
  <si>
    <t>z ogółu bezrobotnych, którzy podjęli pracę</t>
  </si>
  <si>
    <t>poprzednio pracujący (ogółem)</t>
  </si>
  <si>
    <t>w tym zwolnieni z przyczyn dotyczących zakładu pracy</t>
  </si>
  <si>
    <t>poprzednio pracujący</t>
  </si>
  <si>
    <t>"odpływ" bezrobotnych, w tym osoby, które podjęły pracę</t>
  </si>
  <si>
    <t>wyszczególnienie</t>
  </si>
  <si>
    <t>bezrobotni posiadający prawo do zasiłku w podziale na powiaty</t>
  </si>
  <si>
    <t>wzrost/spadek
(liczba)</t>
  </si>
  <si>
    <t xml:space="preserve">                Stan w końcu okresu</t>
  </si>
  <si>
    <t>z tego wg stażu:</t>
  </si>
  <si>
    <t>w tym bezrobotni posiadający gospodarstwo rolne</t>
  </si>
  <si>
    <t>wzrost/spadek liczba</t>
  </si>
  <si>
    <t>Bezrobotni zamieszkali na wsi w podziale na powiaty</t>
  </si>
  <si>
    <t>bezrobotni długotrwale*</t>
  </si>
  <si>
    <t>do 30 roku życia*</t>
  </si>
  <si>
    <t>powyżej 50 roku życia**</t>
  </si>
  <si>
    <t>* Bezrobotny do 30 roku życia – do dnia zastosowania wobec niego usług lub instrumentów rynku pracy nie ukończył 30 roku życia.</t>
  </si>
  <si>
    <t>** Bezrobotny powyżej 50 roku życia – w dniu zastosowania wobec niego usług lub instrumentów rynku pracy ukończył co najmniej 50 rok życia.</t>
  </si>
  <si>
    <t>grupy zawodów</t>
  </si>
  <si>
    <t>A</t>
  </si>
  <si>
    <t>B</t>
  </si>
  <si>
    <t>AB</t>
  </si>
  <si>
    <t>razem</t>
  </si>
  <si>
    <t>w mln zł</t>
  </si>
  <si>
    <t>* Kategoria ta zawiera koszty należne instytucjom szkoleniowym, koszty egzaminów, licencji bez stypendiów i składek na ubezpieczenie społeczne.</t>
  </si>
  <si>
    <t>PRZEDSTAWICIELE WŁADZ PUBLICZNYCH, WYŻSI URZĘDNICY I KIEROWNICY</t>
  </si>
  <si>
    <t>SPECJALIŚCI</t>
  </si>
  <si>
    <t>TECHNICY I INNY ŚREDNI PERSONEL</t>
  </si>
  <si>
    <t>PRACOWNICY BIUROWI</t>
  </si>
  <si>
    <t>PRACOWNICY USŁUG I SPRZEDAWCY</t>
  </si>
  <si>
    <t>ROLNICY, OGRODNICY, LEŚNICY I RYBACY</t>
  </si>
  <si>
    <t>ROBOTNICY PRZEMYSŁOWI I RZEMIEŚLNICY</t>
  </si>
  <si>
    <t>OPERATORZY I MONTERZY MASZYN I URZĄDZEŃ</t>
  </si>
  <si>
    <t>PRACOWNICY WYKONUJĄCY PRACE PROSTE</t>
  </si>
  <si>
    <t>bezrobotni bez zawodu</t>
  </si>
  <si>
    <t>bezrobotni z zawodem</t>
  </si>
  <si>
    <t>kody zawodów (wg KZiS)</t>
  </si>
  <si>
    <t>Kierownicy do spraw zarządzania i handlu</t>
  </si>
  <si>
    <t>Kierownicy do spraw produkcji i usług</t>
  </si>
  <si>
    <t>Kierownicy w branży hotelarskiej, handlu i innych branżach usługowych</t>
  </si>
  <si>
    <t>SIŁY ZBROJNE</t>
  </si>
  <si>
    <t>BEZROBOTNI Z ZAWODEM</t>
  </si>
  <si>
    <t>Specjaliści nauk fizycznych, matematycznych i technicznych</t>
  </si>
  <si>
    <t>Specjaliści do spraw zdrowia</t>
  </si>
  <si>
    <t>Specjaliści nauczania i wychowania</t>
  </si>
  <si>
    <t>Specjaliści do spraw ekonomicznych i zarządzania</t>
  </si>
  <si>
    <t>Specjaliści do spraw technologii informacyjno-komunikacyjnych</t>
  </si>
  <si>
    <t>Specjaliści z dziedziny prawa, dziedzin społecznych i kultury</t>
  </si>
  <si>
    <t>Średni personel nauk fizycznych, chemicznych i technicznych</t>
  </si>
  <si>
    <t>Średni personel do spraw zdrowia</t>
  </si>
  <si>
    <t>Średni personel do spraw biznesu i administracji</t>
  </si>
  <si>
    <t>Średni personel z dziedziny prawa, spraw społecznych, kultury i pokrewny</t>
  </si>
  <si>
    <t>Technicy informatycy</t>
  </si>
  <si>
    <t>Sekretarki, operatorzy urządzeń biurowych i pokrewni</t>
  </si>
  <si>
    <t>Pracownicy obsługi klienta</t>
  </si>
  <si>
    <t>Pracownicy do spraw finansowo-statystycznych i ewidencji materiałowej</t>
  </si>
  <si>
    <t>Pozostali pracownicy obsługi biura</t>
  </si>
  <si>
    <t>Pracownicy usług osobistych</t>
  </si>
  <si>
    <t>Sprzedawcy i pokrewni</t>
  </si>
  <si>
    <t>Pracownicy opieki osobistej i pokrewni</t>
  </si>
  <si>
    <t>Pracownicy usług ochrony</t>
  </si>
  <si>
    <t>Rolnicy produkcji towarowej</t>
  </si>
  <si>
    <t>Leśnicy i rybacy</t>
  </si>
  <si>
    <t>Rolnicy i rybacy pracujący na własne potrzeby</t>
  </si>
  <si>
    <t>Robotnicy budowlani i pokrewni (z wyłączeniem elektryków)</t>
  </si>
  <si>
    <t>Robotnicy obróbki metali, mechanicy maszyn i urządzeń i pokrewni</t>
  </si>
  <si>
    <t>Rzemieślnicy i robotnicy poligraficzni</t>
  </si>
  <si>
    <t>Elektrycy i elektronicy</t>
  </si>
  <si>
    <t>Robotnicy w przetwórstwie spożywczym, obróbce drewna, produkcji wyrobów tekstylnych i pokrewni</t>
  </si>
  <si>
    <t>Operatorzy maszyn i urządzeń wydobywczych i przetwórczych</t>
  </si>
  <si>
    <t>Monterzy</t>
  </si>
  <si>
    <t>Kierowcy i operatorzy pojazdów</t>
  </si>
  <si>
    <t>Pomoce domowe i sprzątaczki</t>
  </si>
  <si>
    <t>Robotnicy wykonujący prace proste w rolnictwie, leśnictwie, leśnictwie i rybactwie</t>
  </si>
  <si>
    <t>Robotnicy wykonujący prace proste w górnictwie, przemyśle, budownictwie i transporcie</t>
  </si>
  <si>
    <t>Pracownicy wykonujący prace proste związane z przygotowywaniem posiłków</t>
  </si>
  <si>
    <t>Sprzedawcy uliczni i pracownicy świadczący usługi na ulicach</t>
  </si>
  <si>
    <t>Ładowacze nieczystości i inni pracownicy wykonujący prace proste</t>
  </si>
  <si>
    <t>Oficerowie sił zbrojnych</t>
  </si>
  <si>
    <t>Podoficerowie sił zbrojnych</t>
  </si>
  <si>
    <t>Żołnierze szeregowi</t>
  </si>
  <si>
    <t>PRZEDSTAWICIELE WŁADZ PUBLICZNYCH, WYŻSI URZĘDNICY I KIEROWNICY*</t>
  </si>
  <si>
    <t>Przedstawiciele władz publicznych, wyżsi urzędnicy i dyrektorzy generalni**</t>
  </si>
  <si>
    <t>BEZROBOTNI BEZ ZAWODU***</t>
  </si>
  <si>
    <t>OFERTY BEZ ZAWODU***</t>
  </si>
  <si>
    <t>OFERTY Z ZAWODEM</t>
  </si>
  <si>
    <t>bezrobotni w szczególnej sytuacji na rynku pracy</t>
  </si>
  <si>
    <t>do 25 roku życia</t>
  </si>
  <si>
    <t xml:space="preserve">   do 30 roku życia</t>
  </si>
  <si>
    <t xml:space="preserve">   długotrwale bezrobotni</t>
  </si>
  <si>
    <t xml:space="preserve">   powyżej 50 roku życia</t>
  </si>
  <si>
    <t xml:space="preserve">   korzystający ze świadczeń pomocy społecznej</t>
  </si>
  <si>
    <t xml:space="preserve">   posiadający co najmniej jedno dziecko do 6 roku życia</t>
  </si>
  <si>
    <t xml:space="preserve">   posiadający co najmniej jedno dziecko niepełnosprawne do 18 roku życia</t>
  </si>
  <si>
    <t xml:space="preserve">  niepełnosprawni</t>
  </si>
  <si>
    <t>bezrobotni wg wieku</t>
  </si>
  <si>
    <t xml:space="preserve">*Bezrobotny długotrwale – pozostający w rejestrze powiatowego urzędu pracy łącznie przez okres ponad 12 miesięcy </t>
  </si>
  <si>
    <t xml:space="preserve">ogółem </t>
  </si>
  <si>
    <t xml:space="preserve">                                                  w okresie ostatnich 2 lat, z wyłączeniem okresów odbywania stażu</t>
  </si>
  <si>
    <t xml:space="preserve">                                                  i przygotowania zawodowego dorosłych.</t>
  </si>
  <si>
    <t>Pracownicy (ogółem)</t>
  </si>
  <si>
    <t xml:space="preserve"> z zakładów sektora prywatnego</t>
  </si>
  <si>
    <t>z zakładów  sektora publicznego</t>
  </si>
  <si>
    <r>
      <t xml:space="preserve">Polska </t>
    </r>
    <r>
      <rPr>
        <b/>
        <vertAlign val="superscript"/>
        <sz val="14"/>
        <color theme="1"/>
        <rFont val="Times New Roman"/>
        <family val="1"/>
        <charset val="238"/>
      </rPr>
      <t>1</t>
    </r>
  </si>
  <si>
    <t xml:space="preserve"> z aktywnych form:</t>
  </si>
  <si>
    <t>* Ostatni z opisywanych kwartałów do poprzedniego. Wzrost lub spadek w pkt. proc.</t>
  </si>
  <si>
    <t>Tabela II.     BEZROBOTNI W PUP ORAZ STOPA BEZROBOCIA WG POWIATÓW</t>
  </si>
  <si>
    <t>Tabela IX. BEZROBOTNI WEDŁUG WIEKU</t>
  </si>
  <si>
    <t>Tabela X. BEZROBOTNI WEDŁUG WYKSZTAŁCENIA</t>
  </si>
  <si>
    <t>Tabela XI. BEZROBOTNI WEDŁUG STAŻU PRACY</t>
  </si>
  <si>
    <t xml:space="preserve">                       PRZEZ PRACODAWCÓW DO PUP </t>
  </si>
  <si>
    <t xml:space="preserve">                 Stan w końcu okresu</t>
  </si>
  <si>
    <t>Tabela VIII.    BEZROBOTNI POSIADAJĄCY PRAWO DO ZASIŁKU</t>
  </si>
  <si>
    <t>Tabela VII.   "ODPŁYW" BEZROBOTNYCH W POWIATACH</t>
  </si>
  <si>
    <t>Tabela VI.   BEZROBOTNI, KTÓRZY PODJĘLI PRACĘ</t>
  </si>
  <si>
    <t xml:space="preserve">Tabela V.  BEZROBOTNI WYŁĄCZENI Z REJESTRU "ODPŁYW" </t>
  </si>
  <si>
    <t>Tabela IV.   "NAPŁYW" BEZROBOTNYCH W POWIATACH</t>
  </si>
  <si>
    <t>Tabela III.   BEZROBOTNI ZAREJESTROWANI "NAPŁYW"</t>
  </si>
  <si>
    <t>Tabela I.     STAN I STRUKTURA OSÓB BEZROBOTNYCH ZAREJESTROWANYCH W PUP</t>
  </si>
  <si>
    <t xml:space="preserve">                  Stan w końcu okresu, województwo podkarpackie</t>
  </si>
  <si>
    <t>** Kategoria ta zawiera stypendia dla uczestników i składki na ubezpieczenie społeczne za okres stażu, przygotowania zawodowego dorosłych</t>
  </si>
  <si>
    <t xml:space="preserve">      realizacji studiów podyplomowych i szkolenia oraz stypendia i składki na ubezpieczenia społeczne za okres kontynuowania nauki. </t>
  </si>
  <si>
    <t>wzrost/spadek ogółem</t>
  </si>
  <si>
    <t>16</t>
  </si>
  <si>
    <t>Wartości dla Polski 2013 r. na podstawie "Monitoring Rynku Pracy. Informacja Kwartalna o aktywności ekonomicznej ludności" GUS Departament Rynku Pracy str. 6.</t>
  </si>
  <si>
    <t>zgłoszenia</t>
  </si>
  <si>
    <t>zwolnienia</t>
  </si>
  <si>
    <t>Ip '18</t>
  </si>
  <si>
    <t xml:space="preserve">                      Stan w końcu okresu, województwo podkarpackie</t>
  </si>
  <si>
    <t>ROK</t>
  </si>
  <si>
    <t>17</t>
  </si>
  <si>
    <t>Wskaźnik zatrudnienia oblicza się jako udział osób pracujących w liczbie ludności ( 15 lat i więcej) ogółem lub dla danej grupy.</t>
  </si>
  <si>
    <t>15-24 lat</t>
  </si>
  <si>
    <t>województwo podkarpackie</t>
  </si>
  <si>
    <t>za IV kwartał według poszczególnych lat. Publikacja sygnalna, Urząd Statystyczny w Rzeszowie.</t>
  </si>
  <si>
    <t>Opracowano na podstawie danych zawartych w "Aktywności ekonomicznej ludności w województwie podkarpackim" -</t>
  </si>
  <si>
    <t>I półrocze</t>
  </si>
  <si>
    <t>m. Krosno</t>
  </si>
  <si>
    <t>m. Przemyśl</t>
  </si>
  <si>
    <t>m. Rzeszów</t>
  </si>
  <si>
    <t>m. Tarnobrzeg</t>
  </si>
  <si>
    <t>Rolnictwo, leśnictwo, łowiectwo i rybactwo</t>
  </si>
  <si>
    <t>Górnictwo i wydobywanie</t>
  </si>
  <si>
    <t>Przetwórstwo przemysłowe</t>
  </si>
  <si>
    <t>Wytwarzanie i zaopatrywanie w energię elektryczną, gaz, parę wodną, gorącą wodę i powietrze do układów klimatyzacyjnych</t>
  </si>
  <si>
    <t>Dostawa wody, gospodarowanie ściekami i odpadami oraz działalność związana z rekultywacją</t>
  </si>
  <si>
    <t>Budownictwo</t>
  </si>
  <si>
    <t>Handel hurtowy i detaliczny; naprawa pojazdów samochodowych, włączając motocykle</t>
  </si>
  <si>
    <t>Działalność związana z zakwaterowaniem i usługami gastronomicznymi</t>
  </si>
  <si>
    <t>Transport i gospodarka magazynowa</t>
  </si>
  <si>
    <t>Informacja i komunikacja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</si>
  <si>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</si>
  <si>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</si>
  <si>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</si>
  <si>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narodowa; obowiązkowe zabezpieczenia społeczne</t>
  </si>
  <si>
    <t>Edukacja</t>
  </si>
  <si>
    <t>Opieka zdrowotna i pomoc społeczna</t>
  </si>
  <si>
    <t>Działalność związana z kulturą, rozrywką i rekreacją</t>
  </si>
  <si>
    <t>Pozostała działalność usługowa</t>
  </si>
  <si>
    <t>Gospodarstwa domowe zatrudniające pracowników; gospodarstwa domowe produkujące wyroby i świadczące usługi na własne potrzeby</t>
  </si>
  <si>
    <t>Działalność niezidentyfikowana</t>
  </si>
  <si>
    <t>O</t>
  </si>
  <si>
    <t xml:space="preserve">z ogółem sekcje PKD: </t>
  </si>
  <si>
    <t>Działalność finansowa i ubezpieczeniowa</t>
  </si>
  <si>
    <t>wzrost/spadek w proc.</t>
  </si>
  <si>
    <t>dynamika</t>
  </si>
  <si>
    <t>II p subsydia</t>
  </si>
  <si>
    <t>średnia liczba osób bezrobotnych na 1 ofertę pracy w roku</t>
  </si>
  <si>
    <t>średnia liczba osób bezrobotnych na 1 ofertę pracy w półroczu</t>
  </si>
  <si>
    <t>Aktywne formy promocji zatrudnienia zawierają również pozostałe aktywne formy.</t>
  </si>
  <si>
    <t>Ip '19</t>
  </si>
  <si>
    <t>18</t>
  </si>
  <si>
    <t>W tablicy XXVIII zostały wykorzystane również dane opublikowane na stronie internetowej GUS.</t>
  </si>
  <si>
    <t>bezrobotni (ogółem)</t>
  </si>
  <si>
    <t>posiadający prawo do zasiłku ogółem - województwo</t>
  </si>
  <si>
    <t>Ip '07</t>
  </si>
  <si>
    <t>Ip '08</t>
  </si>
  <si>
    <t>Ip '09</t>
  </si>
  <si>
    <t>Ip '10</t>
  </si>
  <si>
    <t>Ip '11</t>
  </si>
  <si>
    <t>Ip '12</t>
  </si>
  <si>
    <t>Ip '13</t>
  </si>
  <si>
    <t>Ip '14</t>
  </si>
  <si>
    <t>Ip '15</t>
  </si>
  <si>
    <t>Ip '16</t>
  </si>
  <si>
    <t>Ip '17</t>
  </si>
  <si>
    <t>I półrocza</t>
  </si>
  <si>
    <t>Ip. '98</t>
  </si>
  <si>
    <t>Ip. '99</t>
  </si>
  <si>
    <t>Ip. '00</t>
  </si>
  <si>
    <t>Ip. '01</t>
  </si>
  <si>
    <t>Ip. '02</t>
  </si>
  <si>
    <t>Ip. '03</t>
  </si>
  <si>
    <t>Ip. '04</t>
  </si>
  <si>
    <t>Ip. '05</t>
  </si>
  <si>
    <t>Ip. '06</t>
  </si>
  <si>
    <t>Ip. '07</t>
  </si>
  <si>
    <t>Ip. '08</t>
  </si>
  <si>
    <t>Ip. '09</t>
  </si>
  <si>
    <t>Ip. '10</t>
  </si>
  <si>
    <t>Ip. '11</t>
  </si>
  <si>
    <t>Ip. '12</t>
  </si>
  <si>
    <t>Ip. '13</t>
  </si>
  <si>
    <t>Ip. '14</t>
  </si>
  <si>
    <t>Ip. '15</t>
  </si>
  <si>
    <t>Ip. '16</t>
  </si>
  <si>
    <t>Ip. '17</t>
  </si>
  <si>
    <t>Ip. '18</t>
  </si>
  <si>
    <t>Ip. '19</t>
  </si>
  <si>
    <t>rok</t>
  </si>
  <si>
    <t>oferty og. w roku</t>
  </si>
  <si>
    <t>w tym subs. w roku</t>
  </si>
  <si>
    <t xml:space="preserve">                  w okresach sprawozdawczych, województwo podkarpackie</t>
  </si>
  <si>
    <t xml:space="preserve">                    w okresach sprawozdawczych, województwo podkarpackie</t>
  </si>
  <si>
    <t xml:space="preserve">                w okresie sprawozdawczym, województwo podkarpackie</t>
  </si>
  <si>
    <t xml:space="preserve">                   w okresie sprawozdawczym, województwo podkarpackie</t>
  </si>
  <si>
    <t xml:space="preserve">                     w okresie sprawozdawczym, województwo podkarpackie</t>
  </si>
  <si>
    <t xml:space="preserve">                     Stan w końcu okresu, województwo podkarpackie</t>
  </si>
  <si>
    <t xml:space="preserve">                   stan w końcu okresu, województwo podkarpackie</t>
  </si>
  <si>
    <t xml:space="preserve">                     stan w końcu okresu, województwo podkarpackie</t>
  </si>
  <si>
    <t xml:space="preserve">                  stan w końcu okresu, województwo podkarpackie</t>
  </si>
  <si>
    <t xml:space="preserve">                       w okresie sprawozdawczym, województwo podkarpackie</t>
  </si>
  <si>
    <t xml:space="preserve">                         w okresie sprawozdawczym, województwo podkarpackie</t>
  </si>
  <si>
    <t xml:space="preserve">                         przez pracodawców do PUP,</t>
  </si>
  <si>
    <t xml:space="preserve">                           w okresie sprawozdawczym, województwo podkarpackie</t>
  </si>
  <si>
    <t xml:space="preserve">                           w okresie sprawozdawczym</t>
  </si>
  <si>
    <t>lokata max</t>
  </si>
  <si>
    <t>lokata min</t>
  </si>
  <si>
    <t>lokata max sp.</t>
  </si>
  <si>
    <t>lokata min sp.</t>
  </si>
  <si>
    <t>do 30</t>
  </si>
  <si>
    <t>31-50</t>
  </si>
  <si>
    <t>pow.50</t>
  </si>
  <si>
    <t xml:space="preserve">wzrost/spadek </t>
  </si>
  <si>
    <t>(w proc.)</t>
  </si>
  <si>
    <t>do 30 roku życia</t>
  </si>
  <si>
    <t>do 50 roku życia</t>
  </si>
  <si>
    <t xml:space="preserve">                          I MIEJSC AKTYWIZACJI ZAWODOWEJ ZGŁOSZONYCH PRZEZ PRACODAWCÓW DO PUP</t>
  </si>
  <si>
    <t>spadek wynikający z konieczności wypłaty zasiłków</t>
  </si>
  <si>
    <t>1999=100%</t>
  </si>
  <si>
    <t>1999 r. dot. pracy stałej</t>
  </si>
  <si>
    <t>Zwyżki</t>
  </si>
  <si>
    <t>2014-2017</t>
  </si>
  <si>
    <t>subsydia w Ip. danego roku</t>
  </si>
  <si>
    <t>oferty og. w Ip. danego roku</t>
  </si>
  <si>
    <t>----</t>
  </si>
  <si>
    <t>**** Środki wydatkowane przez Powiatowe Urzędy Pracy w województwie podkarpackim, w ramach ustawy o szczególnych rozwiązaniach</t>
  </si>
  <si>
    <t>działań FGŚP w województwie podkarpackim.</t>
  </si>
  <si>
    <t>*** Kategoria ta od 2016 r. zawiera refundację wynagrodzeń osobom w wieku do 30 roku życia.</t>
  </si>
  <si>
    <t>19</t>
  </si>
  <si>
    <t>IP '20</t>
  </si>
  <si>
    <r>
      <t xml:space="preserve">                      </t>
    </r>
    <r>
      <rPr>
        <u/>
        <sz val="11"/>
        <color theme="1"/>
        <rFont val="Times New Roman"/>
        <family val="1"/>
        <charset val="238"/>
      </rPr>
      <t>Stan w końcu okresu</t>
    </r>
    <r>
      <rPr>
        <sz val="11"/>
        <color theme="1"/>
        <rFont val="Times New Roman"/>
        <family val="1"/>
        <charset val="238"/>
      </rPr>
      <t>, województwo podkarpackie</t>
    </r>
  </si>
  <si>
    <t>Ip. '20</t>
  </si>
  <si>
    <t>podjęcia pracy w ramach refundacji kosztów utworzenia stanowiska pracy</t>
  </si>
  <si>
    <t xml:space="preserve">                   stan w końcu okresu, województwo podkarpackie  c.d.</t>
  </si>
  <si>
    <t>30 VI 2021</t>
  </si>
  <si>
    <t>30 VI '21</t>
  </si>
  <si>
    <t>Ip 2021</t>
  </si>
  <si>
    <t>I półrocze 2021</t>
  </si>
  <si>
    <t>I p 2021</t>
  </si>
  <si>
    <t>Stan w końcu okresu, porównanie zmian w półroczu</t>
  </si>
  <si>
    <t>Stan w końcu okresu, porównanie stanów - czerwiec do czerwca</t>
  </si>
  <si>
    <t>20</t>
  </si>
  <si>
    <r>
      <rPr>
        <vertAlign val="superscript"/>
        <sz val="9"/>
        <color theme="1"/>
        <rFont val="Times New Roman"/>
        <family val="1"/>
        <charset val="238"/>
      </rPr>
      <t>1</t>
    </r>
    <r>
      <rPr>
        <sz val="9"/>
        <color theme="1"/>
        <rFont val="Times New Roman"/>
        <family val="1"/>
        <charset val="238"/>
      </rPr>
      <t xml:space="preserve"> - Dane dla Polski - BDL, wejście na stronę VII 2021 r.</t>
    </r>
  </si>
  <si>
    <t>W niektórych okresach następuje kontynuacja zwolnień zgłoszonych z roku poprzedniego.</t>
  </si>
  <si>
    <t>IP '21</t>
  </si>
  <si>
    <t>oferty pracy w Ip 2021 r.</t>
  </si>
  <si>
    <t>Ip. '21</t>
  </si>
  <si>
    <t>liczba bezrobotnych 30 VI 2021</t>
  </si>
  <si>
    <t>proc. do ogółem</t>
  </si>
  <si>
    <t>Tabela XII.    BEZROBOTNI ZAMIESZKALI NA WSI</t>
  </si>
  <si>
    <t>Tabela XIII. BEZROBOTNI W SZCZEGÓLNEJ SYTUACJI NA RYNKU PRACY</t>
  </si>
  <si>
    <t>Tabela XIV. BEZROBOTNI WG WIEKU, W TYM DO 30 ROKU ŻYCIA I POWYŻEJ 50 ROKU ŻYCIA</t>
  </si>
  <si>
    <t>Tabela XV. BEZROBOTNI DO 30 ROKU ŻYCIA I POWYŻEJ 50 ROKU ŻYCIA</t>
  </si>
  <si>
    <t>Tabela XVI. BEZROBOTNI DŁUGOTRWALE</t>
  </si>
  <si>
    <t>c.d. Tabela XVI. BEZROBOTNI DŁUGOTRWALE</t>
  </si>
  <si>
    <t>Tabela XV. BEZROBOTNI DO 30 ROKU ŻYCIA I POWYŻEJ 50 ROKU ŻYCIA  c.d.</t>
  </si>
  <si>
    <t>Tabela XVIII. ZMIANY ILOŚCI BEZROBOTNYCH WEDŁUG GRUP ZAWODOWYCH</t>
  </si>
  <si>
    <t>Tabela XIX.   BEROBOTNI WG GRUP ZAWODÓW</t>
  </si>
  <si>
    <t>Tabela XX.  Wolne miejsca pracy i miejsca aktywizacji zawodowej zgłoszone</t>
  </si>
  <si>
    <t>Tabela XXI.   ZMIANY W LICZBIE WOLNYCH MIEJSC PRACY</t>
  </si>
  <si>
    <t xml:space="preserve">Tabela XXII.  WOLNE MIEJSCA PRACY I MIEJSCA AKTYWIZACJI ZAWODOWEJ  ZGŁOSZONE </t>
  </si>
  <si>
    <t>Tabela XXIV   Aktywne formy promocji zatrudnienia wg powiatów. Liczba bezrobotnych aktywizowanych w ramach poszczególnych form,</t>
  </si>
  <si>
    <t>Tabela XXVI.   WSKAŹNIK  ZATRUDNIENIA</t>
  </si>
  <si>
    <t>B_2021</t>
  </si>
  <si>
    <t>Tabela XXV.  ZGŁOSZENIA ZWOLNIEŃ Z PRZYCZYN NIEDOTYCZĄCYCH PRACOWNIKÓW</t>
  </si>
  <si>
    <t>18-44</t>
  </si>
  <si>
    <t>45-60</t>
  </si>
  <si>
    <t>30.06.2001</t>
  </si>
  <si>
    <t xml:space="preserve">                          POLSKIEJ KLASYFIKACJI DZIAŁALNOŚCI (PKD)</t>
  </si>
  <si>
    <t xml:space="preserve">Tabela XVII.    OFERTY  PRACY   WEDŁUG </t>
  </si>
  <si>
    <t>oferty pracy</t>
  </si>
  <si>
    <t>Oferty pracy zgłoszone do powiatowych urzędów pracy w województwie podkarpackim.</t>
  </si>
  <si>
    <t>sekcje PKD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</si>
  <si>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</si>
  <si>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</si>
  <si>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</si>
  <si>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</si>
  <si>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</si>
  <si>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</si>
  <si>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</si>
  <si>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</si>
  <si>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</si>
  <si>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</si>
  <si>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</si>
  <si>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</si>
  <si>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</si>
  <si>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</si>
  <si>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</si>
  <si>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</si>
  <si>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</si>
  <si>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</si>
  <si>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B-F</t>
  </si>
  <si>
    <t>H-U</t>
  </si>
  <si>
    <t xml:space="preserve">                          w okresie sprawozdawczym, województwo podkarpackie</t>
  </si>
  <si>
    <t>31 XII 2021</t>
  </si>
  <si>
    <t>30 VI 2022</t>
  </si>
  <si>
    <t>31 XII '21</t>
  </si>
  <si>
    <t>30 VI '22</t>
  </si>
  <si>
    <t>wzrost/spadek do XII '21 (liczba)</t>
  </si>
  <si>
    <t>wzrost/spadek do VI '21 (liczba)</t>
  </si>
  <si>
    <t>30 VI "21</t>
  </si>
  <si>
    <t>31 XII '21*</t>
  </si>
  <si>
    <t>wzrost/spadek do XII '21 (pkt. proc.)</t>
  </si>
  <si>
    <t>wzrost/spadek do VI '21 (pkt. proc.)</t>
  </si>
  <si>
    <t>Tabela II a.  DODATEK SPECJALNY: OSOBY POSIADAJĄCE OBYWATELSTWO</t>
  </si>
  <si>
    <t xml:space="preserve">                   UKRAIŃSKIE ZAREJESTROWANE JAKO BEZROBOTNI W PUP</t>
  </si>
  <si>
    <t xml:space="preserve">                   wg powiatów, stan w końcu okresu</t>
  </si>
  <si>
    <t>w proc.</t>
  </si>
  <si>
    <t xml:space="preserve">                      Stan w końcu okresu</t>
  </si>
  <si>
    <t>* Są to osoby, które przyjechały do Polski zarówno przed 24 lutego 2022 roku jak i po tej dacie.</t>
  </si>
  <si>
    <t>w tym osoby posiadające obywatelstwo ukraińskie *</t>
  </si>
  <si>
    <t>osoby posiadające obywatelestwo ukraińskie zarejestrowane jako poszukujący pracy *</t>
  </si>
  <si>
    <t>II półrocze 2021</t>
  </si>
  <si>
    <t>2021 rok</t>
  </si>
  <si>
    <t>I półrocze 2022</t>
  </si>
  <si>
    <t>IIp 2021</t>
  </si>
  <si>
    <t>Ip 2022</t>
  </si>
  <si>
    <t>wzrost lub spadek w por. do I półrocza 2021</t>
  </si>
  <si>
    <t>I p 2022</t>
  </si>
  <si>
    <t xml:space="preserve"> 31 XII 2021=100 proc.</t>
  </si>
  <si>
    <t>30 VI 2022 r.</t>
  </si>
  <si>
    <t>31 XII'19 = 100 proc.</t>
  </si>
  <si>
    <t>30 VI'19 = 100 proc.</t>
  </si>
  <si>
    <t>31 XII '19 = 100 proc.</t>
  </si>
  <si>
    <t>30 VI '19 = 100 proc.</t>
  </si>
  <si>
    <t xml:space="preserve">30 VI '19 = 100 proc. </t>
  </si>
  <si>
    <t>**Bezrobotny powyżej 50 roku życia – w dniu zastosowania wobec niego usług lub instrumentów rynku pracy ukończył co najmniej 50 rok życia.</t>
  </si>
  <si>
    <t>wzrost/spadek 31 XII '21 = 100 proc.
(liczba)</t>
  </si>
  <si>
    <t>wzrost / spadek 31 XII '21 = 100 proc.   (w proc.)</t>
  </si>
  <si>
    <t>wzrost/spadek 30 VI '21 = 100 proc.
(liczba)</t>
  </si>
  <si>
    <t>wzrost / spadek 30 VI '21 = 100 proc.  (w proc.)</t>
  </si>
  <si>
    <t>w I p '22 r.</t>
  </si>
  <si>
    <t>dynamika spadków do 31 XII 2021 w poszcz. grupach</t>
  </si>
  <si>
    <t>wzrost / spadek (liczba)</t>
  </si>
  <si>
    <t>wzrost / spadek w proc.</t>
  </si>
  <si>
    <t>w proc. *</t>
  </si>
  <si>
    <t>w proc.*</t>
  </si>
  <si>
    <t>liczba bezrobotnych 30 VI 2022</t>
  </si>
  <si>
    <t xml:space="preserve">* W jednocyfrowych grupach zawodów, odsetek w stosunku do liczby bezrobotnych ogółem z zawodem (B=100 proc.). </t>
  </si>
  <si>
    <t>** Wartości procentowe odpowiadające grupom dwucyfrowym obliczono dla danej grupy jednocyfrowej (GJ=100 proc.).</t>
  </si>
  <si>
    <t>*** Odsetek dla bezrobotnych bez zawodu w stosunku do "ogłóem" (A+B=100 proc.).</t>
  </si>
  <si>
    <t>w okresie I półrocza 2022 r.</t>
  </si>
  <si>
    <t>Ip. '22</t>
  </si>
  <si>
    <t>wzrost/spadek (w proc.)</t>
  </si>
  <si>
    <t>B_2022</t>
  </si>
  <si>
    <t>oferty pracy w Ip 2022 r.</t>
  </si>
  <si>
    <t xml:space="preserve">* W jednocyfrowych grupach zawodów, odsetek w stosunku do liczby ofert ogółem z zawodem (B=100 proc.). </t>
  </si>
  <si>
    <t>*** Odsetek dla ofert bez zawodu w stosunku do "ogółem" (A+B=100 proc.).</t>
  </si>
  <si>
    <t>w okresie I półrocza 2022 roku</t>
  </si>
  <si>
    <t>IP '22</t>
  </si>
  <si>
    <t>21</t>
  </si>
  <si>
    <t xml:space="preserve">                           w IV kwartale danego roku</t>
  </si>
  <si>
    <t>wzrost/spadek do Ip 2021 r.</t>
  </si>
  <si>
    <t>dotychczas niepracujący</t>
  </si>
  <si>
    <t>kobiety z obywatelstwem ukraińskim zarejestrowane jako osoby bezrobotne</t>
  </si>
  <si>
    <t>kobiety z obywatelstwem ukraińskim zarejestrowane jako osoby poszukujące pracy</t>
  </si>
  <si>
    <t>LICZBA BEZROBOTNYCH OGÓŁEM, stan na 30 VI '22</t>
  </si>
  <si>
    <t>LICZBA POSZUKUJĄCYCH PRACY OGÓŁEM, stan na 30 VI '22</t>
  </si>
  <si>
    <t>udział bezrobotnych KOBIET z obywatelstwem ukraińskim w bezrobotnych ogółem z obywatelstwem ukraińskim (w proc.)</t>
  </si>
  <si>
    <t>p. krośnieński i miasto Krosno</t>
  </si>
  <si>
    <t>p. przemyski i miasto Przemyśl</t>
  </si>
  <si>
    <t>p. rzeszowski i miasto Rzeszów</t>
  </si>
  <si>
    <t>p. tarnobrzeski i miasto Tarnobrzeg</t>
  </si>
  <si>
    <t>Teren działania PUP, powiaty grodzkie łącznie z powiatami ziemskimi</t>
  </si>
  <si>
    <r>
      <t>udział w bezrobotnych ogółem</t>
    </r>
    <r>
      <rPr>
        <sz val="11"/>
        <color theme="1"/>
        <rFont val="Times New Roman"/>
        <family val="1"/>
        <charset val="238"/>
      </rPr>
      <t xml:space="preserve"> (w proc.)</t>
    </r>
  </si>
  <si>
    <t>najwyższy proc.</t>
  </si>
  <si>
    <t>najniższy proc.</t>
  </si>
  <si>
    <t>wyższe</t>
  </si>
  <si>
    <t>polic. i śr. zaw.</t>
  </si>
  <si>
    <t>śr. ogólnokszt.</t>
  </si>
  <si>
    <t>zas. zaw.</t>
  </si>
  <si>
    <t>gimn., podst. i niep. podst.</t>
  </si>
  <si>
    <t>w okresie sprawozdawczym, województwo podkarpackie, tabela zawiera formy promocji zatrudnienia.</t>
  </si>
  <si>
    <t>Tabela zawiera również informację o części środków wydatkowanych z Funduszu Pracy</t>
  </si>
  <si>
    <t>na przeciwdziałanie SARS-CoV-2 w województwie podkarpackim.  Część środków wydatkowanych w ramach</t>
  </si>
  <si>
    <t>Funduszu Gwarantowanych Świadczeń Pracowniczych zawiera odpowiedni rozdział analizy w części dotyczącej</t>
  </si>
  <si>
    <t>wydatki w wartościach bezwzględnych</t>
  </si>
  <si>
    <t>rozkłady procentowe według poszczególnych kategorii</t>
  </si>
  <si>
    <t>proc. rozkład form aktywnych bez covid-u</t>
  </si>
  <si>
    <t>proc. rozkład form aktywnych z covid-em</t>
  </si>
  <si>
    <r>
      <t>Aktywne formy promocji zatrudnienia ze środkami wydatkowanymi w ramach Covid-19</t>
    </r>
    <r>
      <rPr>
        <vertAlign val="superscript"/>
        <sz val="16"/>
        <color theme="1"/>
        <rFont val="Times New Roman"/>
        <family val="1"/>
        <charset val="238"/>
      </rPr>
      <t>1</t>
    </r>
  </si>
  <si>
    <r>
      <t>Aktywne formy promocji zatrudnienia bez środków wydatkowanych w ramach Covid-19</t>
    </r>
    <r>
      <rPr>
        <vertAlign val="superscript"/>
        <sz val="16"/>
        <color theme="1"/>
        <rFont val="Times New Roman"/>
        <family val="1"/>
        <charset val="238"/>
      </rPr>
      <t>2</t>
    </r>
  </si>
  <si>
    <t xml:space="preserve">       staże</t>
  </si>
  <si>
    <t xml:space="preserve">  szkolenia*</t>
  </si>
  <si>
    <t xml:space="preserve">  prace interwencyjne</t>
  </si>
  <si>
    <t xml:space="preserve">  roboty publiczne</t>
  </si>
  <si>
    <t xml:space="preserve">  środki na podjęcie działalności gospodarczej</t>
  </si>
  <si>
    <t xml:space="preserve">  środki dla pracodawców na wyp. i doposażenie miejsc pracy</t>
  </si>
  <si>
    <t xml:space="preserve">  stypendia i składki na ubezpieczenia społeczne **</t>
  </si>
  <si>
    <t xml:space="preserve">  pozostałe aktywne formy ***</t>
  </si>
  <si>
    <r>
      <t>Środki wydatkowane z Funduszu Pracy w ramach interwencji COVID-19</t>
    </r>
    <r>
      <rPr>
        <sz val="16"/>
        <color theme="1"/>
        <rFont val="Times New Roman"/>
        <family val="1"/>
        <charset val="238"/>
      </rPr>
      <t xml:space="preserve"> (ogółem)</t>
    </r>
  </si>
  <si>
    <r>
      <rPr>
        <b/>
        <sz val="16"/>
        <color theme="1"/>
        <rFont val="Times New Roman"/>
        <family val="1"/>
        <charset val="238"/>
      </rPr>
      <t>Środki wydatkowane z Funduszu Pracy w ramach interwencji COVID-19</t>
    </r>
    <r>
      <rPr>
        <sz val="16"/>
        <color theme="1"/>
        <rFont val="Times New Roman"/>
        <family val="1"/>
        <charset val="238"/>
      </rPr>
      <t xml:space="preserve"> na podstawie art. 15zzd, </t>
    </r>
    <r>
      <rPr>
        <sz val="16"/>
        <color rgb="FFC00000"/>
        <rFont val="Times New Roman"/>
        <family val="1"/>
        <charset val="238"/>
      </rPr>
      <t>15zzda</t>
    </r>
    <r>
      <rPr>
        <sz val="16"/>
        <color theme="1"/>
        <rFont val="Times New Roman"/>
        <family val="1"/>
        <charset val="238"/>
      </rPr>
      <t xml:space="preserve">, 15zzb, 15zzc, 15zze i </t>
    </r>
    <r>
      <rPr>
        <sz val="16"/>
        <color rgb="FFC00000"/>
        <rFont val="Times New Roman"/>
        <family val="1"/>
        <charset val="238"/>
      </rPr>
      <t>15zze2</t>
    </r>
    <r>
      <rPr>
        <sz val="16"/>
        <color theme="1"/>
        <rFont val="Times New Roman"/>
        <family val="1"/>
        <charset val="238"/>
      </rPr>
      <t xml:space="preserve"> tj. z rezerwy **** </t>
    </r>
  </si>
  <si>
    <r>
      <rPr>
        <b/>
        <sz val="16"/>
        <color theme="1"/>
        <rFont val="Times New Roman"/>
        <family val="1"/>
        <charset val="238"/>
      </rPr>
      <t>Środki wydatkowane z Funduszu Pracy w ramach interwencji COVID-19</t>
    </r>
    <r>
      <rPr>
        <sz val="16"/>
        <color theme="1"/>
        <rFont val="Times New Roman"/>
        <family val="1"/>
        <charset val="238"/>
      </rPr>
      <t xml:space="preserve"> na podstawie art. 15zze</t>
    </r>
    <r>
      <rPr>
        <vertAlign val="superscript"/>
        <sz val="16"/>
        <color theme="1"/>
        <rFont val="Times New Roman"/>
        <family val="1"/>
        <charset val="238"/>
      </rPr>
      <t>4</t>
    </r>
    <r>
      <rPr>
        <sz val="16"/>
        <color theme="1"/>
        <rFont val="Times New Roman"/>
        <family val="1"/>
        <charset val="238"/>
      </rPr>
      <t xml:space="preserve"> tj. nie z rezerwy</t>
    </r>
    <r>
      <rPr>
        <vertAlign val="superscript"/>
        <sz val="16"/>
        <color theme="1"/>
        <rFont val="Times New Roman"/>
        <family val="1"/>
        <charset val="238"/>
      </rPr>
      <t>3</t>
    </r>
  </si>
  <si>
    <t>w stosunku do okresów wcześniejszych. Posiadają zakres ścisle odpowiadający przepisom ustawy o promocji zatrudnienia i instytucjach rynu pracy.</t>
  </si>
  <si>
    <t>Formy aktywne i zasiłki dla bezrobotnych oraz wydatki w ramach COVID-19  i  kategoria "inne" sumują się do ogółem wydatków realizowanych z FP.</t>
  </si>
  <si>
    <t xml:space="preserve">         związanych z zapobieganiem, przeciwdziałaniem i zwalczaniem COVID-19,  innych chorób zakaźnych oraz wywołanych nimi</t>
  </si>
  <si>
    <t xml:space="preserve">         sytuacji kryzysowych. Nie zawierają części pomocy państwowej, wydatkowanej przez Fundusz Gwarantowanych Świadczeń Pracowniczych.</t>
  </si>
  <si>
    <t>dla bezrobotnych i pracodawców. Aktywnymi formami są również środki wydatkowane z FP w ramach przeciwdziałania SARS-CoV-2 na podstawie odrębnych przepisów.</t>
  </si>
  <si>
    <t xml:space="preserve">    z dnia 16 października 2020 r. w sprawie ogłoszenia jednolitego tekstu ustawy o szczególnych rozwiązaniach</t>
  </si>
  <si>
    <t xml:space="preserve">    związanych z zapobieganiem, przeciwdziałaniem i zwalczaniem COVID-19, innych chorób zakaźnych oraz wywołanych nimi sytuacji kryzysowych.</t>
  </si>
  <si>
    <t>w I półroczu 2021 roku</t>
  </si>
  <si>
    <t>w I półroczu 2022 roku</t>
  </si>
  <si>
    <t>w Ip. 2021 roku</t>
  </si>
  <si>
    <t>w Ip 2022 roku</t>
  </si>
  <si>
    <r>
      <t xml:space="preserve">Tabela XXIII.  </t>
    </r>
    <r>
      <rPr>
        <b/>
        <sz val="11"/>
        <color theme="1"/>
        <rFont val="Times New Roman"/>
        <family val="1"/>
        <charset val="238"/>
      </rPr>
      <t>WYDATKI  REALIZOWANE  Z  FUNDUSZU  PRACY</t>
    </r>
  </si>
  <si>
    <t>w I p '21 r.</t>
  </si>
  <si>
    <t>Źrodło: SI "Cesar", 04-08-2022 r.</t>
  </si>
  <si>
    <t>bd</t>
  </si>
  <si>
    <t>I p '22 r. w proc. (w ogółem, dla danej kategorii)</t>
  </si>
  <si>
    <t>wyłączeni z rejestru bez utraty statusu bezrobtnych (w sensie prawnym)</t>
  </si>
  <si>
    <r>
      <rPr>
        <vertAlign val="superscript"/>
        <sz val="14"/>
        <color theme="1"/>
        <rFont val="Times New Roman"/>
        <family val="1"/>
        <charset val="238"/>
      </rPr>
      <t>1</t>
    </r>
    <r>
      <rPr>
        <sz val="14"/>
        <color theme="1"/>
        <rFont val="Times New Roman"/>
        <family val="1"/>
        <charset val="238"/>
      </rPr>
      <t xml:space="preserve"> Wydatki na formy wsparcia zatrudnienia (ogółem) są obliczane razem z wydatkami poniesionymi w ramach COVID-19.</t>
    </r>
  </si>
  <si>
    <r>
      <rPr>
        <vertAlign val="superscript"/>
        <sz val="14"/>
        <color theme="1"/>
        <rFont val="Times New Roman"/>
        <family val="1"/>
        <charset val="238"/>
      </rPr>
      <t>2</t>
    </r>
    <r>
      <rPr>
        <sz val="14"/>
        <color theme="1"/>
        <rFont val="Times New Roman"/>
        <family val="1"/>
        <charset val="238"/>
      </rPr>
      <t xml:space="preserve"> Wydatki na aktywne formy promocji zatrudnienia zostasły obliczone bez wydatków w ramach COVID-19. Zawierają dotychczas stosowane aktywne formy i zachowują tym samym możliwość porównania</t>
    </r>
  </si>
  <si>
    <r>
      <t xml:space="preserve">Tradycyjne </t>
    </r>
    <r>
      <rPr>
        <b/>
        <sz val="14"/>
        <color theme="1"/>
        <rFont val="Times New Roman"/>
        <family val="1"/>
        <charset val="238"/>
      </rPr>
      <t>aktywne formy promocji zatrudnienia</t>
    </r>
    <r>
      <rPr>
        <sz val="14"/>
        <color theme="1"/>
        <rFont val="Times New Roman"/>
        <family val="1"/>
        <charset val="238"/>
      </rPr>
      <t xml:space="preserve"> to np. szkolenia i przekwalifikowania, prace interwencyjne i roboty publiczne, pożyczki</t>
    </r>
  </si>
  <si>
    <r>
      <rPr>
        <b/>
        <sz val="14"/>
        <color theme="1"/>
        <rFont val="Times New Roman"/>
        <family val="1"/>
        <charset val="238"/>
      </rPr>
      <t>Pasywne formy</t>
    </r>
    <r>
      <rPr>
        <sz val="14"/>
        <color theme="1"/>
        <rFont val="Times New Roman"/>
        <family val="1"/>
        <charset val="238"/>
      </rPr>
      <t xml:space="preserve"> (tzw. programy osłonowe) są to zasiłki dla osób bezrobotnych oraz zasiłki i świedczenia przedemerytalne.</t>
    </r>
  </si>
  <si>
    <r>
      <rPr>
        <vertAlign val="superscript"/>
        <sz val="14"/>
        <color theme="1"/>
        <rFont val="Times New Roman"/>
        <family val="1"/>
        <charset val="238"/>
      </rPr>
      <t xml:space="preserve">3 </t>
    </r>
    <r>
      <rPr>
        <sz val="14"/>
        <color theme="1"/>
        <rFont val="Times New Roman"/>
        <family val="1"/>
        <charset val="238"/>
      </rPr>
      <t xml:space="preserve">  Na podstawie przepisów Dz.U. 2020 poz. 1842 Obwieszczenie Marszałka Sejmu Rzeczypospolitej Polskiej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</si>
</sst>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#,##0.0"/>
    <numFmt numFmtId="166" formatCode="#,##0.000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7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6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name val="Times New Roman"/>
      <family val="1"/>
      <charset val="238"/>
    </font>
    <font>
      <sz val="16"/>
      <color rgb="FFC00000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vertAlign val="superscript"/>
      <sz val="16"/>
      <color theme="1"/>
      <name val="Times New Roman"/>
      <family val="1"/>
      <charset val="238"/>
    </font>
    <font>
      <sz val="17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vertAlign val="superscript"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E7E2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4CAE0"/>
        <bgColor indexed="64"/>
      </patternFill>
    </fill>
    <fill>
      <patternFill patternType="solid">
        <fgColor rgb="FFE8ECFE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</borders>
  <cellStyleXfs count="10">
    <xf numFmtId="0" fontId="0" fillId="0" borderId="0"/>
    <xf numFmtId="0" fontId="2" fillId="0" borderId="0">
      <alignment horizontal="right" vertical="center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>
      <alignment horizontal="right" vertical="center"/>
    </xf>
    <xf numFmtId="0" fontId="16" fillId="0" borderId="0">
      <alignment horizontal="left" vertical="center"/>
    </xf>
    <xf numFmtId="0" fontId="2" fillId="0" borderId="0">
      <alignment horizontal="left" vertical="center"/>
    </xf>
    <xf numFmtId="0" fontId="16" fillId="0" borderId="0">
      <alignment horizontal="left" vertical="center"/>
    </xf>
    <xf numFmtId="0" fontId="2" fillId="0" borderId="0">
      <alignment horizontal="right" vertical="center"/>
    </xf>
    <xf numFmtId="0" fontId="16" fillId="0" borderId="0">
      <alignment horizontal="right" vertical="center"/>
    </xf>
  </cellStyleXfs>
  <cellXfs count="1046">
    <xf numFmtId="0" fontId="0" fillId="0" borderId="0" xfId="0"/>
    <xf numFmtId="0" fontId="1" fillId="2" borderId="0" xfId="0" applyFont="1" applyFill="1"/>
    <xf numFmtId="0" fontId="0" fillId="2" borderId="0" xfId="0" applyFill="1"/>
    <xf numFmtId="3" fontId="4" fillId="2" borderId="11" xfId="0" applyNumberFormat="1" applyFont="1" applyFill="1" applyBorder="1" applyAlignment="1">
      <alignment horizontal="center" vertical="center" wrapText="1"/>
    </xf>
    <xf numFmtId="3" fontId="4" fillId="2" borderId="31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horizontal="center" vertical="center" wrapText="1"/>
    </xf>
    <xf numFmtId="165" fontId="4" fillId="2" borderId="13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18" xfId="0" applyFont="1" applyFill="1" applyBorder="1" applyAlignment="1">
      <alignment horizontal="left" vertical="center" wrapText="1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4" fillId="2" borderId="18" xfId="0" applyFont="1" applyFill="1" applyBorder="1"/>
    <xf numFmtId="0" fontId="4" fillId="2" borderId="33" xfId="0" applyFont="1" applyFill="1" applyBorder="1"/>
    <xf numFmtId="3" fontId="4" fillId="2" borderId="11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 wrapText="1"/>
    </xf>
    <xf numFmtId="14" fontId="4" fillId="3" borderId="12" xfId="0" applyNumberFormat="1" applyFont="1" applyFill="1" applyBorder="1" applyAlignment="1">
      <alignment horizontal="center" vertical="center" wrapText="1"/>
    </xf>
    <xf numFmtId="3" fontId="4" fillId="2" borderId="83" xfId="0" applyNumberFormat="1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left" vertical="center" wrapText="1"/>
    </xf>
    <xf numFmtId="3" fontId="6" fillId="2" borderId="84" xfId="0" applyNumberFormat="1" applyFont="1" applyFill="1" applyBorder="1" applyAlignment="1">
      <alignment horizontal="center" vertical="center"/>
    </xf>
    <xf numFmtId="3" fontId="6" fillId="2" borderId="83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3" fontId="4" fillId="2" borderId="51" xfId="0" applyNumberFormat="1" applyFont="1" applyFill="1" applyBorder="1" applyAlignment="1">
      <alignment horizontal="center" vertical="center"/>
    </xf>
    <xf numFmtId="165" fontId="4" fillId="2" borderId="49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 vertical="center"/>
    </xf>
    <xf numFmtId="3" fontId="4" fillId="2" borderId="63" xfId="0" applyNumberFormat="1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horizontal="center" vertical="center"/>
    </xf>
    <xf numFmtId="3" fontId="4" fillId="2" borderId="33" xfId="0" applyNumberFormat="1" applyFont="1" applyFill="1" applyBorder="1" applyAlignment="1">
      <alignment horizontal="center" vertical="center"/>
    </xf>
    <xf numFmtId="3" fontId="4" fillId="2" borderId="82" xfId="0" applyNumberFormat="1" applyFont="1" applyFill="1" applyBorder="1" applyAlignment="1">
      <alignment horizontal="center" vertical="center"/>
    </xf>
    <xf numFmtId="165" fontId="4" fillId="2" borderId="27" xfId="0" applyNumberFormat="1" applyFont="1" applyFill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center" vertical="center"/>
    </xf>
    <xf numFmtId="165" fontId="4" fillId="2" borderId="24" xfId="0" applyNumberFormat="1" applyFont="1" applyFill="1" applyBorder="1" applyAlignment="1">
      <alignment horizontal="center" vertical="center"/>
    </xf>
    <xf numFmtId="3" fontId="4" fillId="2" borderId="4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3" fontId="6" fillId="2" borderId="56" xfId="0" applyNumberFormat="1" applyFont="1" applyFill="1" applyBorder="1" applyAlignment="1">
      <alignment horizontal="center" vertical="center"/>
    </xf>
    <xf numFmtId="3" fontId="6" fillId="2" borderId="26" xfId="0" applyNumberFormat="1" applyFon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/>
    <xf numFmtId="0" fontId="7" fillId="2" borderId="0" xfId="0" applyFont="1" applyFill="1"/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wrapText="1"/>
    </xf>
    <xf numFmtId="3" fontId="4" fillId="2" borderId="11" xfId="0" applyNumberFormat="1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left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49" fontId="4" fillId="2" borderId="19" xfId="0" applyNumberFormat="1" applyFont="1" applyFill="1" applyBorder="1" applyAlignment="1">
      <alignment horizontal="left" vertical="center" wrapText="1"/>
    </xf>
    <xf numFmtId="3" fontId="4" fillId="2" borderId="20" xfId="0" applyNumberFormat="1" applyFont="1" applyFill="1" applyBorder="1" applyAlignment="1">
      <alignment horizontal="center" vertical="center" wrapText="1"/>
    </xf>
    <xf numFmtId="165" fontId="4" fillId="2" borderId="20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left" vertical="center" wrapText="1" indent="2"/>
    </xf>
    <xf numFmtId="165" fontId="4" fillId="2" borderId="21" xfId="0" applyNumberFormat="1" applyFont="1" applyFill="1" applyBorder="1" applyAlignment="1">
      <alignment horizontal="center" vertical="center"/>
    </xf>
    <xf numFmtId="3" fontId="4" fillId="2" borderId="9" xfId="0" quotePrefix="1" applyNumberFormat="1" applyFont="1" applyFill="1" applyBorder="1" applyAlignment="1">
      <alignment horizontal="center" vertical="center"/>
    </xf>
    <xf numFmtId="165" fontId="4" fillId="2" borderId="21" xfId="0" quotePrefix="1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63" xfId="0" applyNumberFormat="1" applyFont="1" applyFill="1" applyBorder="1" applyAlignment="1">
      <alignment horizontal="left" vertical="center" wrapText="1"/>
    </xf>
    <xf numFmtId="165" fontId="4" fillId="2" borderId="78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/>
    </xf>
    <xf numFmtId="165" fontId="4" fillId="2" borderId="77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left" vertical="center" wrapText="1"/>
    </xf>
    <xf numFmtId="3" fontId="4" fillId="2" borderId="11" xfId="0" quotePrefix="1" applyNumberFormat="1" applyFont="1" applyFill="1" applyBorder="1" applyAlignment="1">
      <alignment horizontal="center" vertical="center"/>
    </xf>
    <xf numFmtId="165" fontId="4" fillId="2" borderId="59" xfId="0" quotePrefix="1" applyNumberFormat="1" applyFont="1" applyFill="1" applyBorder="1" applyAlignment="1">
      <alignment horizontal="center" vertical="center"/>
    </xf>
    <xf numFmtId="165" fontId="4" fillId="2" borderId="59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 indent="2"/>
    </xf>
    <xf numFmtId="49" fontId="4" fillId="2" borderId="63" xfId="0" applyNumberFormat="1" applyFont="1" applyFill="1" applyBorder="1" applyAlignment="1">
      <alignment horizontal="left" vertical="center" wrapText="1" indent="2"/>
    </xf>
    <xf numFmtId="3" fontId="4" fillId="2" borderId="51" xfId="0" quotePrefix="1" applyNumberFormat="1" applyFont="1" applyFill="1" applyBorder="1" applyAlignment="1">
      <alignment horizontal="center" vertical="center"/>
    </xf>
    <xf numFmtId="165" fontId="4" fillId="2" borderId="78" xfId="0" quotePrefix="1" applyNumberFormat="1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 wrapText="1"/>
    </xf>
    <xf numFmtId="0" fontId="0" fillId="2" borderId="0" xfId="0" applyFont="1" applyFill="1"/>
    <xf numFmtId="3" fontId="6" fillId="2" borderId="4" xfId="0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18" xfId="0" quotePrefix="1" applyNumberFormat="1" applyFont="1" applyFill="1" applyBorder="1" applyAlignment="1">
      <alignment horizontal="center" vertical="center"/>
    </xf>
    <xf numFmtId="3" fontId="4" fillId="2" borderId="63" xfId="0" quotePrefix="1" applyNumberFormat="1" applyFont="1" applyFill="1" applyBorder="1" applyAlignment="1">
      <alignment horizontal="center" vertical="center"/>
    </xf>
    <xf numFmtId="3" fontId="4" fillId="2" borderId="33" xfId="0" quotePrefix="1" applyNumberFormat="1" applyFont="1" applyFill="1" applyBorder="1" applyAlignment="1">
      <alignment horizontal="center" vertical="center"/>
    </xf>
    <xf numFmtId="3" fontId="6" fillId="2" borderId="84" xfId="0" applyNumberFormat="1" applyFont="1" applyFill="1" applyBorder="1" applyAlignment="1">
      <alignment horizontal="center" vertical="center" wrapText="1"/>
    </xf>
    <xf numFmtId="165" fontId="6" fillId="2" borderId="80" xfId="0" applyNumberFormat="1" applyFont="1" applyFill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3" fontId="4" fillId="2" borderId="30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/>
    </xf>
    <xf numFmtId="3" fontId="4" fillId="2" borderId="12" xfId="2" applyNumberFormat="1" applyFont="1" applyFill="1" applyBorder="1" applyAlignment="1">
      <alignment horizontal="center" vertical="center"/>
    </xf>
    <xf numFmtId="165" fontId="4" fillId="2" borderId="3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44" xfId="0" applyFont="1" applyFill="1" applyBorder="1"/>
    <xf numFmtId="0" fontId="4" fillId="3" borderId="12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12" xfId="2" applyNumberFormat="1" applyFont="1" applyFill="1" applyBorder="1" applyAlignment="1">
      <alignment horizontal="center" vertical="center" wrapText="1"/>
    </xf>
    <xf numFmtId="165" fontId="6" fillId="2" borderId="26" xfId="0" applyNumberFormat="1" applyFont="1" applyFill="1" applyBorder="1" applyAlignment="1">
      <alignment horizontal="center" vertical="center" wrapText="1"/>
    </xf>
    <xf numFmtId="165" fontId="6" fillId="2" borderId="27" xfId="0" applyNumberFormat="1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3" fontId="4" fillId="2" borderId="38" xfId="2" applyNumberFormat="1" applyFont="1" applyFill="1" applyBorder="1" applyAlignment="1">
      <alignment horizontal="center" vertical="center" wrapText="1"/>
    </xf>
    <xf numFmtId="165" fontId="4" fillId="2" borderId="8" xfId="3" applyNumberFormat="1" applyFont="1" applyFill="1" applyBorder="1" applyAlignment="1">
      <alignment horizontal="center" vertical="center" wrapText="1"/>
    </xf>
    <xf numFmtId="165" fontId="4" fillId="2" borderId="45" xfId="0" applyNumberFormat="1" applyFont="1" applyFill="1" applyBorder="1" applyAlignment="1">
      <alignment horizontal="center" vertical="center" wrapText="1"/>
    </xf>
    <xf numFmtId="165" fontId="4" fillId="2" borderId="39" xfId="3" applyNumberFormat="1" applyFont="1" applyFill="1" applyBorder="1" applyAlignment="1">
      <alignment horizontal="center" vertical="center" wrapText="1"/>
    </xf>
    <xf numFmtId="3" fontId="4" fillId="2" borderId="35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3" fontId="4" fillId="2" borderId="31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 vertical="center"/>
    </xf>
    <xf numFmtId="3" fontId="4" fillId="2" borderId="26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 wrapText="1" indent="1"/>
    </xf>
    <xf numFmtId="0" fontId="4" fillId="2" borderId="48" xfId="0" applyFont="1" applyFill="1" applyBorder="1" applyAlignment="1">
      <alignment horizontal="left" vertical="center" wrapText="1" indent="2"/>
    </xf>
    <xf numFmtId="3" fontId="4" fillId="2" borderId="85" xfId="0" applyNumberFormat="1" applyFont="1" applyFill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 wrapText="1"/>
    </xf>
    <xf numFmtId="0" fontId="4" fillId="3" borderId="36" xfId="0" applyFont="1" applyFill="1" applyBorder="1"/>
    <xf numFmtId="0" fontId="6" fillId="2" borderId="36" xfId="0" applyFont="1" applyFill="1" applyBorder="1" applyAlignment="1">
      <alignment horizontal="left" vertical="center" wrapText="1"/>
    </xf>
    <xf numFmtId="3" fontId="6" fillId="2" borderId="50" xfId="0" applyNumberFormat="1" applyFont="1" applyFill="1" applyBorder="1" applyAlignment="1">
      <alignment horizontal="center" vertical="center"/>
    </xf>
    <xf numFmtId="165" fontId="6" fillId="2" borderId="3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left" vertical="center" wrapText="1"/>
    </xf>
    <xf numFmtId="3" fontId="4" fillId="2" borderId="61" xfId="0" applyNumberFormat="1" applyFont="1" applyFill="1" applyBorder="1" applyAlignment="1">
      <alignment horizontal="center" vertical="center"/>
    </xf>
    <xf numFmtId="165" fontId="4" fillId="2" borderId="62" xfId="0" applyNumberFormat="1" applyFont="1" applyFill="1" applyBorder="1" applyAlignment="1">
      <alignment horizontal="center" vertical="center"/>
    </xf>
    <xf numFmtId="3" fontId="4" fillId="2" borderId="73" xfId="0" applyNumberFormat="1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left" vertical="center" wrapText="1"/>
    </xf>
    <xf numFmtId="3" fontId="4" fillId="2" borderId="74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4" fillId="2" borderId="45" xfId="0" applyNumberFormat="1" applyFont="1" applyFill="1" applyBorder="1" applyAlignment="1">
      <alignment horizontal="center" vertical="center"/>
    </xf>
    <xf numFmtId="164" fontId="4" fillId="2" borderId="39" xfId="0" applyNumberFormat="1" applyFont="1" applyFill="1" applyBorder="1" applyAlignment="1">
      <alignment horizontal="center" vertical="center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45" xfId="0" applyNumberFormat="1" applyFont="1" applyFill="1" applyBorder="1" applyAlignment="1">
      <alignment horizontal="center" vertical="center"/>
    </xf>
    <xf numFmtId="3" fontId="4" fillId="2" borderId="5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3" fontId="8" fillId="4" borderId="2" xfId="0" quotePrefix="1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165" fontId="8" fillId="4" borderId="45" xfId="0" applyNumberFormat="1" applyFont="1" applyFill="1" applyBorder="1" applyAlignment="1">
      <alignment horizontal="center" vertical="center"/>
    </xf>
    <xf numFmtId="3" fontId="8" fillId="4" borderId="7" xfId="0" quotePrefix="1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wrapText="1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3" fontId="8" fillId="4" borderId="45" xfId="0" applyNumberFormat="1" applyFont="1" applyFill="1" applyBorder="1" applyAlignment="1">
      <alignment horizontal="center" vertical="center"/>
    </xf>
    <xf numFmtId="3" fontId="8" fillId="4" borderId="51" xfId="0" applyNumberFormat="1" applyFont="1" applyFill="1" applyBorder="1" applyAlignment="1">
      <alignment horizontal="center" vertical="center"/>
    </xf>
    <xf numFmtId="3" fontId="8" fillId="4" borderId="46" xfId="0" applyNumberFormat="1" applyFont="1" applyFill="1" applyBorder="1" applyAlignment="1">
      <alignment horizontal="center" vertical="center"/>
    </xf>
    <xf numFmtId="0" fontId="8" fillId="4" borderId="71" xfId="0" applyFont="1" applyFill="1" applyBorder="1" applyAlignment="1">
      <alignment wrapText="1"/>
    </xf>
    <xf numFmtId="3" fontId="8" fillId="4" borderId="11" xfId="0" applyNumberFormat="1" applyFont="1" applyFill="1" applyBorder="1" applyAlignment="1">
      <alignment horizontal="center" vertical="center"/>
    </xf>
    <xf numFmtId="165" fontId="8" fillId="4" borderId="12" xfId="0" applyNumberFormat="1" applyFont="1" applyFill="1" applyBorder="1" applyAlignment="1">
      <alignment horizontal="center" vertical="center"/>
    </xf>
    <xf numFmtId="3" fontId="8" fillId="4" borderId="12" xfId="0" applyNumberFormat="1" applyFont="1" applyFill="1" applyBorder="1" applyAlignment="1">
      <alignment horizontal="center" vertical="center"/>
    </xf>
    <xf numFmtId="3" fontId="8" fillId="4" borderId="54" xfId="0" applyNumberFormat="1" applyFont="1" applyFill="1" applyBorder="1" applyAlignment="1">
      <alignment horizontal="center" vertical="center"/>
    </xf>
    <xf numFmtId="3" fontId="8" fillId="4" borderId="0" xfId="0" applyNumberFormat="1" applyFont="1" applyFill="1" applyBorder="1" applyAlignment="1">
      <alignment horizontal="center" vertical="center"/>
    </xf>
    <xf numFmtId="165" fontId="8" fillId="4" borderId="0" xfId="0" applyNumberFormat="1" applyFont="1" applyFill="1" applyBorder="1" applyAlignment="1">
      <alignment horizontal="center" vertical="center"/>
    </xf>
    <xf numFmtId="3" fontId="8" fillId="4" borderId="0" xfId="0" quotePrefix="1" applyNumberFormat="1" applyFont="1" applyFill="1" applyBorder="1" applyAlignment="1">
      <alignment horizontal="center" vertical="center"/>
    </xf>
    <xf numFmtId="0" fontId="8" fillId="4" borderId="0" xfId="0" applyFont="1" applyFill="1" applyBorder="1"/>
    <xf numFmtId="0" fontId="8" fillId="4" borderId="19" xfId="0" applyFont="1" applyFill="1" applyBorder="1" applyAlignment="1">
      <alignment horizontal="left" wrapText="1" indent="3"/>
    </xf>
    <xf numFmtId="0" fontId="8" fillId="4" borderId="0" xfId="0" applyFont="1" applyFill="1" applyBorder="1" applyAlignment="1">
      <alignment wrapText="1"/>
    </xf>
    <xf numFmtId="0" fontId="6" fillId="2" borderId="55" xfId="0" applyFont="1" applyFill="1" applyBorder="1" applyAlignment="1">
      <alignment horizontal="left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164" fontId="6" fillId="2" borderId="38" xfId="0" applyNumberFormat="1" applyFont="1" applyFill="1" applyBorder="1" applyAlignment="1">
      <alignment horizontal="center" vertical="center"/>
    </xf>
    <xf numFmtId="164" fontId="6" fillId="2" borderId="39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left" vertical="center" wrapText="1"/>
    </xf>
    <xf numFmtId="164" fontId="4" fillId="2" borderId="27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left" vertical="center"/>
    </xf>
    <xf numFmtId="0" fontId="5" fillId="2" borderId="57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/>
    <xf numFmtId="0" fontId="4" fillId="2" borderId="71" xfId="0" applyFont="1" applyFill="1" applyBorder="1"/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165" fontId="4" fillId="2" borderId="39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51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2" borderId="82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justify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3" fontId="6" fillId="2" borderId="5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/>
    </xf>
    <xf numFmtId="3" fontId="4" fillId="2" borderId="33" xfId="0" applyNumberFormat="1" applyFont="1" applyFill="1" applyBorder="1" applyAlignment="1">
      <alignment horizontal="center"/>
    </xf>
    <xf numFmtId="0" fontId="4" fillId="3" borderId="55" xfId="0" applyFont="1" applyFill="1" applyBorder="1"/>
    <xf numFmtId="0" fontId="4" fillId="3" borderId="56" xfId="0" applyFont="1" applyFill="1" applyBorder="1"/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4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9" fillId="2" borderId="50" xfId="0" applyFont="1" applyFill="1" applyBorder="1" applyAlignment="1">
      <alignment vertical="center" wrapText="1"/>
    </xf>
    <xf numFmtId="3" fontId="9" fillId="2" borderId="38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82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vertical="center" wrapText="1"/>
    </xf>
    <xf numFmtId="0" fontId="10" fillId="2" borderId="40" xfId="0" applyFont="1" applyFill="1" applyBorder="1" applyAlignment="1">
      <alignment horizontal="center" vertical="center" wrapText="1"/>
    </xf>
    <xf numFmtId="3" fontId="10" fillId="2" borderId="4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9" fillId="2" borderId="39" xfId="0" applyNumberFormat="1" applyFont="1" applyFill="1" applyBorder="1" applyAlignment="1">
      <alignment horizontal="center" vertical="center" wrapText="1"/>
    </xf>
    <xf numFmtId="0" fontId="8" fillId="2" borderId="82" xfId="0" applyFont="1" applyFill="1" applyBorder="1" applyAlignment="1">
      <alignment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8" fillId="2" borderId="27" xfId="0" applyNumberFormat="1" applyFont="1" applyFill="1" applyBorder="1" applyAlignment="1">
      <alignment horizontal="center" vertical="center" wrapText="1"/>
    </xf>
    <xf numFmtId="164" fontId="10" fillId="2" borderId="27" xfId="0" applyNumberFormat="1" applyFont="1" applyFill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164" fontId="10" fillId="2" borderId="49" xfId="0" applyNumberFormat="1" applyFont="1" applyFill="1" applyBorder="1" applyAlignment="1">
      <alignment horizontal="center" vertical="center" wrapText="1"/>
    </xf>
    <xf numFmtId="165" fontId="4" fillId="2" borderId="82" xfId="0" applyNumberFormat="1" applyFont="1" applyFill="1" applyBorder="1" applyAlignment="1">
      <alignment horizontal="center" vertical="center"/>
    </xf>
    <xf numFmtId="165" fontId="4" fillId="2" borderId="26" xfId="0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3" fontId="6" fillId="2" borderId="23" xfId="0" applyNumberFormat="1" applyFont="1" applyFill="1" applyBorder="1" applyAlignment="1">
      <alignment horizontal="center" vertical="center"/>
    </xf>
    <xf numFmtId="165" fontId="6" fillId="2" borderId="84" xfId="0" applyNumberFormat="1" applyFont="1" applyFill="1" applyBorder="1" applyAlignment="1">
      <alignment horizontal="center" vertical="center"/>
    </xf>
    <xf numFmtId="165" fontId="6" fillId="2" borderId="83" xfId="0" applyNumberFormat="1" applyFont="1" applyFill="1" applyBorder="1" applyAlignment="1">
      <alignment horizontal="center" vertical="center"/>
    </xf>
    <xf numFmtId="165" fontId="6" fillId="2" borderId="2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0" xfId="0" applyFont="1" applyFill="1" applyAlignment="1"/>
    <xf numFmtId="0" fontId="8" fillId="4" borderId="41" xfId="0" applyFont="1" applyFill="1" applyBorder="1" applyAlignment="1">
      <alignment wrapText="1"/>
    </xf>
    <xf numFmtId="3" fontId="8" fillId="4" borderId="82" xfId="0" applyNumberFormat="1" applyFont="1" applyFill="1" applyBorder="1" applyAlignment="1">
      <alignment horizontal="center" vertical="center"/>
    </xf>
    <xf numFmtId="3" fontId="8" fillId="4" borderId="26" xfId="0" quotePrefix="1" applyNumberFormat="1" applyFont="1" applyFill="1" applyBorder="1" applyAlignment="1">
      <alignment horizontal="center" vertical="center"/>
    </xf>
    <xf numFmtId="3" fontId="8" fillId="4" borderId="26" xfId="0" applyNumberFormat="1" applyFont="1" applyFill="1" applyBorder="1" applyAlignment="1">
      <alignment horizontal="center" vertical="center"/>
    </xf>
    <xf numFmtId="165" fontId="8" fillId="4" borderId="26" xfId="0" applyNumberFormat="1" applyFont="1" applyFill="1" applyBorder="1" applyAlignment="1">
      <alignment horizontal="center" vertical="center"/>
    </xf>
    <xf numFmtId="3" fontId="8" fillId="4" borderId="81" xfId="0" applyNumberFormat="1" applyFont="1" applyFill="1" applyBorder="1" applyAlignment="1">
      <alignment horizontal="center" vertical="center"/>
    </xf>
    <xf numFmtId="165" fontId="8" fillId="4" borderId="81" xfId="0" applyNumberFormat="1" applyFont="1" applyFill="1" applyBorder="1" applyAlignment="1">
      <alignment horizontal="center" vertical="center"/>
    </xf>
    <xf numFmtId="3" fontId="8" fillId="4" borderId="82" xfId="0" quotePrefix="1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65" fontId="4" fillId="2" borderId="12" xfId="0" quotePrefix="1" applyNumberFormat="1" applyFont="1" applyFill="1" applyBorder="1" applyAlignment="1">
      <alignment horizontal="center" vertical="center" wrapText="1"/>
    </xf>
    <xf numFmtId="164" fontId="4" fillId="2" borderId="12" xfId="0" quotePrefix="1" applyNumberFormat="1" applyFont="1" applyFill="1" applyBorder="1" applyAlignment="1">
      <alignment horizontal="center"/>
    </xf>
    <xf numFmtId="164" fontId="4" fillId="2" borderId="13" xfId="0" quotePrefix="1" applyNumberFormat="1" applyFont="1" applyFill="1" applyBorder="1" applyAlignment="1">
      <alignment horizontal="center"/>
    </xf>
    <xf numFmtId="0" fontId="4" fillId="2" borderId="33" xfId="0" applyFont="1" applyFill="1" applyBorder="1" applyAlignment="1">
      <alignment wrapText="1"/>
    </xf>
    <xf numFmtId="165" fontId="4" fillId="2" borderId="13" xfId="0" quotePrefix="1" applyNumberFormat="1" applyFont="1" applyFill="1" applyBorder="1" applyAlignment="1">
      <alignment horizontal="center" vertical="center" wrapText="1"/>
    </xf>
    <xf numFmtId="165" fontId="8" fillId="4" borderId="54" xfId="0" applyNumberFormat="1" applyFont="1" applyFill="1" applyBorder="1" applyAlignment="1">
      <alignment horizontal="center" vertical="center"/>
    </xf>
    <xf numFmtId="165" fontId="8" fillId="4" borderId="26" xfId="0" quotePrefix="1" applyNumberFormat="1" applyFont="1" applyFill="1" applyBorder="1" applyAlignment="1">
      <alignment horizontal="center" vertical="center"/>
    </xf>
    <xf numFmtId="165" fontId="8" fillId="4" borderId="2" xfId="0" quotePrefix="1" applyNumberFormat="1" applyFont="1" applyFill="1" applyBorder="1" applyAlignment="1">
      <alignment horizontal="center" vertical="center"/>
    </xf>
    <xf numFmtId="165" fontId="8" fillId="4" borderId="27" xfId="0" quotePrefix="1" applyNumberFormat="1" applyFont="1" applyFill="1" applyBorder="1" applyAlignment="1">
      <alignment horizontal="center" vertical="center"/>
    </xf>
    <xf numFmtId="165" fontId="8" fillId="4" borderId="8" xfId="0" quotePrefix="1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wrapText="1"/>
    </xf>
    <xf numFmtId="3" fontId="6" fillId="2" borderId="82" xfId="0" applyNumberFormat="1" applyFont="1" applyFill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/>
    </xf>
    <xf numFmtId="164" fontId="6" fillId="2" borderId="26" xfId="0" applyNumberFormat="1" applyFont="1" applyFill="1" applyBorder="1" applyAlignment="1">
      <alignment horizontal="center"/>
    </xf>
    <xf numFmtId="3" fontId="6" fillId="2" borderId="26" xfId="0" applyNumberFormat="1" applyFon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3" fontId="6" fillId="2" borderId="88" xfId="0" applyNumberFormat="1" applyFont="1" applyFill="1" applyBorder="1" applyAlignment="1">
      <alignment horizontal="center" vertical="center" wrapText="1"/>
    </xf>
    <xf numFmtId="3" fontId="6" fillId="2" borderId="89" xfId="0" applyNumberFormat="1" applyFont="1" applyFill="1" applyBorder="1" applyAlignment="1">
      <alignment horizontal="center" vertical="center" wrapText="1"/>
    </xf>
    <xf numFmtId="165" fontId="6" fillId="2" borderId="90" xfId="0" applyNumberFormat="1" applyFont="1" applyFill="1" applyBorder="1" applyAlignment="1">
      <alignment horizontal="center" vertical="center" wrapText="1"/>
    </xf>
    <xf numFmtId="165" fontId="6" fillId="2" borderId="91" xfId="0" applyNumberFormat="1" applyFont="1" applyFill="1" applyBorder="1" applyAlignment="1">
      <alignment horizontal="center" vertical="center" wrapText="1"/>
    </xf>
    <xf numFmtId="165" fontId="4" fillId="2" borderId="53" xfId="0" applyNumberFormat="1" applyFont="1" applyFill="1" applyBorder="1" applyAlignment="1">
      <alignment horizontal="center" vertical="center" wrapText="1"/>
    </xf>
    <xf numFmtId="165" fontId="4" fillId="2" borderId="47" xfId="0" applyNumberFormat="1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2" fontId="8" fillId="3" borderId="22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65" fontId="4" fillId="2" borderId="21" xfId="0" applyNumberFormat="1" applyFont="1" applyFill="1" applyBorder="1" applyAlignment="1">
      <alignment horizontal="center" vertical="center" wrapText="1"/>
    </xf>
    <xf numFmtId="165" fontId="6" fillId="2" borderId="77" xfId="0" applyNumberFormat="1" applyFont="1" applyFill="1" applyBorder="1" applyAlignment="1">
      <alignment horizontal="center" vertical="center" wrapText="1"/>
    </xf>
    <xf numFmtId="165" fontId="4" fillId="2" borderId="59" xfId="0" applyNumberFormat="1" applyFont="1" applyFill="1" applyBorder="1" applyAlignment="1">
      <alignment horizontal="center" vertical="center" wrapText="1"/>
    </xf>
    <xf numFmtId="165" fontId="6" fillId="2" borderId="56" xfId="0" applyNumberFormat="1" applyFont="1" applyFill="1" applyBorder="1" applyAlignment="1">
      <alignment horizontal="center" vertical="center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52" xfId="0" applyNumberFormat="1" applyFont="1" applyFill="1" applyBorder="1" applyAlignment="1">
      <alignment horizontal="center" vertical="center" wrapText="1"/>
    </xf>
    <xf numFmtId="14" fontId="4" fillId="3" borderId="50" xfId="0" applyNumberFormat="1" applyFont="1" applyFill="1" applyBorder="1" applyAlignment="1">
      <alignment horizontal="center" vertical="center" wrapText="1"/>
    </xf>
    <xf numFmtId="14" fontId="4" fillId="3" borderId="58" xfId="0" applyNumberFormat="1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left" vertical="center"/>
    </xf>
    <xf numFmtId="3" fontId="4" fillId="2" borderId="43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59" xfId="0" applyNumberFormat="1" applyFont="1" applyFill="1" applyBorder="1" applyAlignment="1">
      <alignment horizontal="center" vertical="center"/>
    </xf>
    <xf numFmtId="3" fontId="4" fillId="2" borderId="42" xfId="0" applyNumberFormat="1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3" fontId="4" fillId="2" borderId="72" xfId="0" applyNumberFormat="1" applyFont="1" applyFill="1" applyBorder="1" applyAlignment="1">
      <alignment horizontal="center" vertical="center"/>
    </xf>
    <xf numFmtId="165" fontId="6" fillId="2" borderId="89" xfId="0" applyNumberFormat="1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right" vertical="center" wrapText="1"/>
    </xf>
    <xf numFmtId="164" fontId="8" fillId="2" borderId="10" xfId="0" quotePrefix="1" applyNumberFormat="1" applyFont="1" applyFill="1" applyBorder="1" applyAlignment="1">
      <alignment horizontal="center" vertical="center" wrapText="1"/>
    </xf>
    <xf numFmtId="164" fontId="8" fillId="2" borderId="13" xfId="0" quotePrefix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4" fillId="3" borderId="28" xfId="0" quotePrefix="1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52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4" fillId="2" borderId="3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164" fontId="4" fillId="2" borderId="3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65" fontId="4" fillId="2" borderId="0" xfId="0" applyNumberFormat="1" applyFont="1" applyFill="1"/>
    <xf numFmtId="0" fontId="0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0" fillId="2" borderId="0" xfId="0" applyNumberFormat="1" applyFont="1" applyFill="1"/>
    <xf numFmtId="164" fontId="0" fillId="2" borderId="0" xfId="0" applyNumberFormat="1" applyFont="1" applyFill="1" applyAlignment="1">
      <alignment horizontal="center" vertical="center"/>
    </xf>
    <xf numFmtId="3" fontId="0" fillId="2" borderId="0" xfId="0" applyNumberFormat="1" applyFont="1" applyFill="1"/>
    <xf numFmtId="164" fontId="4" fillId="2" borderId="0" xfId="0" applyNumberFormat="1" applyFont="1" applyFill="1"/>
    <xf numFmtId="0" fontId="4" fillId="3" borderId="58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/>
    </xf>
    <xf numFmtId="3" fontId="4" fillId="6" borderId="9" xfId="0" applyNumberFormat="1" applyFont="1" applyFill="1" applyBorder="1" applyAlignment="1">
      <alignment horizontal="center" vertical="center"/>
    </xf>
    <xf numFmtId="165" fontId="4" fillId="6" borderId="21" xfId="0" applyNumberFormat="1" applyFont="1" applyFill="1" applyBorder="1" applyAlignment="1">
      <alignment horizontal="center" vertical="center"/>
    </xf>
    <xf numFmtId="3" fontId="4" fillId="6" borderId="18" xfId="0" applyNumberFormat="1" applyFont="1" applyFill="1" applyBorder="1" applyAlignment="1">
      <alignment horizontal="center" vertical="center"/>
    </xf>
    <xf numFmtId="49" fontId="6" fillId="6" borderId="4" xfId="0" applyNumberFormat="1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165" fontId="6" fillId="6" borderId="56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49" fontId="13" fillId="2" borderId="18" xfId="0" applyNumberFormat="1" applyFont="1" applyFill="1" applyBorder="1" applyAlignment="1">
      <alignment horizontal="left" vertical="center" wrapText="1" indent="1"/>
    </xf>
    <xf numFmtId="0" fontId="4" fillId="2" borderId="63" xfId="0" applyFont="1" applyFill="1" applyBorder="1" applyAlignment="1">
      <alignment horizontal="left" vertical="center" wrapText="1" indent="2"/>
    </xf>
    <xf numFmtId="3" fontId="4" fillId="2" borderId="7" xfId="0" quotePrefix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center" vertical="center"/>
    </xf>
    <xf numFmtId="165" fontId="6" fillId="6" borderId="56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49" fontId="4" fillId="6" borderId="34" xfId="0" applyNumberFormat="1" applyFont="1" applyFill="1" applyBorder="1" applyAlignment="1">
      <alignment horizontal="left" vertical="center" wrapText="1"/>
    </xf>
    <xf numFmtId="3" fontId="4" fillId="6" borderId="7" xfId="0" applyNumberFormat="1" applyFont="1" applyFill="1" applyBorder="1" applyAlignment="1">
      <alignment horizontal="center" vertical="center"/>
    </xf>
    <xf numFmtId="165" fontId="4" fillId="6" borderId="77" xfId="0" applyNumberFormat="1" applyFont="1" applyFill="1" applyBorder="1" applyAlignment="1">
      <alignment horizontal="center" vertical="center"/>
    </xf>
    <xf numFmtId="3" fontId="4" fillId="6" borderId="34" xfId="0" applyNumberFormat="1" applyFont="1" applyFill="1" applyBorder="1" applyAlignment="1">
      <alignment horizontal="center" vertical="center"/>
    </xf>
    <xf numFmtId="49" fontId="4" fillId="6" borderId="18" xfId="0" applyNumberFormat="1" applyFont="1" applyFill="1" applyBorder="1" applyAlignment="1">
      <alignment horizontal="left" vertical="center" wrapText="1"/>
    </xf>
    <xf numFmtId="49" fontId="4" fillId="6" borderId="79" xfId="0" applyNumberFormat="1" applyFont="1" applyFill="1" applyBorder="1" applyAlignment="1">
      <alignment horizontal="left" vertical="center" wrapText="1"/>
    </xf>
    <xf numFmtId="3" fontId="4" fillId="6" borderId="75" xfId="0" applyNumberFormat="1" applyFont="1" applyFill="1" applyBorder="1" applyAlignment="1">
      <alignment horizontal="center" vertical="center"/>
    </xf>
    <xf numFmtId="165" fontId="4" fillId="6" borderId="70" xfId="0" applyNumberFormat="1" applyFont="1" applyFill="1" applyBorder="1" applyAlignment="1">
      <alignment horizontal="center" vertical="center"/>
    </xf>
    <xf numFmtId="3" fontId="4" fillId="6" borderId="79" xfId="0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left" vertical="center" wrapText="1" indent="1"/>
    </xf>
    <xf numFmtId="3" fontId="5" fillId="2" borderId="94" xfId="0" applyNumberFormat="1" applyFont="1" applyFill="1" applyBorder="1" applyAlignment="1">
      <alignment horizontal="center" vertical="center" wrapText="1"/>
    </xf>
    <xf numFmtId="165" fontId="5" fillId="2" borderId="94" xfId="0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49" fontId="13" fillId="2" borderId="18" xfId="0" applyNumberFormat="1" applyFont="1" applyFill="1" applyBorder="1" applyAlignment="1">
      <alignment horizontal="left" vertical="center" wrapText="1" indent="3"/>
    </xf>
    <xf numFmtId="0" fontId="4" fillId="3" borderId="48" xfId="0" applyFont="1" applyFill="1" applyBorder="1" applyAlignment="1">
      <alignment horizontal="center" vertical="center" wrapText="1"/>
    </xf>
    <xf numFmtId="0" fontId="14" fillId="2" borderId="67" xfId="0" applyFont="1" applyFill="1" applyBorder="1" applyAlignment="1">
      <alignment horizontal="left" vertical="center" wrapText="1" indent="3"/>
    </xf>
    <xf numFmtId="3" fontId="13" fillId="2" borderId="50" xfId="0" applyNumberFormat="1" applyFont="1" applyFill="1" applyBorder="1" applyAlignment="1">
      <alignment horizontal="center" vertical="center"/>
    </xf>
    <xf numFmtId="3" fontId="13" fillId="2" borderId="58" xfId="0" applyNumberFormat="1" applyFont="1" applyFill="1" applyBorder="1" applyAlignment="1">
      <alignment horizontal="center" vertical="center"/>
    </xf>
    <xf numFmtId="3" fontId="13" fillId="2" borderId="68" xfId="0" applyNumberFormat="1" applyFont="1" applyFill="1" applyBorder="1" applyAlignment="1">
      <alignment horizontal="center" vertical="center"/>
    </xf>
    <xf numFmtId="164" fontId="13" fillId="2" borderId="39" xfId="0" applyNumberFormat="1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4" fillId="3" borderId="80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49" fontId="6" fillId="2" borderId="55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 indent="3"/>
    </xf>
    <xf numFmtId="49" fontId="4" fillId="2" borderId="71" xfId="0" applyNumberFormat="1" applyFont="1" applyFill="1" applyBorder="1" applyAlignment="1">
      <alignment horizontal="left" vertical="center" wrapText="1" indent="3"/>
    </xf>
    <xf numFmtId="49" fontId="4" fillId="2" borderId="64" xfId="0" applyNumberFormat="1" applyFont="1" applyFill="1" applyBorder="1" applyAlignment="1">
      <alignment horizontal="left" vertical="center" wrapText="1" indent="5"/>
    </xf>
    <xf numFmtId="49" fontId="4" fillId="2" borderId="19" xfId="0" applyNumberFormat="1" applyFont="1" applyFill="1" applyBorder="1" applyAlignment="1">
      <alignment horizontal="left" vertical="center" wrapText="1" indent="5"/>
    </xf>
    <xf numFmtId="49" fontId="4" fillId="2" borderId="76" xfId="0" applyNumberFormat="1" applyFont="1" applyFill="1" applyBorder="1" applyAlignment="1">
      <alignment horizontal="left" vertical="center" wrapText="1" indent="5"/>
    </xf>
    <xf numFmtId="49" fontId="4" fillId="2" borderId="71" xfId="0" applyNumberFormat="1" applyFont="1" applyFill="1" applyBorder="1" applyAlignment="1">
      <alignment horizontal="left" vertical="center" wrapText="1" indent="5"/>
    </xf>
    <xf numFmtId="0" fontId="4" fillId="3" borderId="31" xfId="0" applyFont="1" applyFill="1" applyBorder="1" applyAlignment="1">
      <alignment horizontal="center" vertical="center"/>
    </xf>
    <xf numFmtId="3" fontId="4" fillId="2" borderId="92" xfId="0" applyNumberFormat="1" applyFont="1" applyFill="1" applyBorder="1" applyAlignment="1">
      <alignment horizontal="center" vertical="center"/>
    </xf>
    <xf numFmtId="165" fontId="6" fillId="2" borderId="52" xfId="0" applyNumberFormat="1" applyFont="1" applyFill="1" applyBorder="1" applyAlignment="1">
      <alignment horizontal="center" vertical="center"/>
    </xf>
    <xf numFmtId="165" fontId="4" fillId="2" borderId="81" xfId="0" applyNumberFormat="1" applyFont="1" applyFill="1" applyBorder="1" applyAlignment="1">
      <alignment horizontal="center" vertical="center"/>
    </xf>
    <xf numFmtId="165" fontId="4" fillId="2" borderId="54" xfId="0" applyNumberFormat="1" applyFont="1" applyFill="1" applyBorder="1" applyAlignment="1">
      <alignment horizontal="center" vertical="center"/>
    </xf>
    <xf numFmtId="165" fontId="4" fillId="2" borderId="87" xfId="0" applyNumberFormat="1" applyFont="1" applyFill="1" applyBorder="1" applyAlignment="1">
      <alignment horizontal="center" vertical="center"/>
    </xf>
    <xf numFmtId="165" fontId="4" fillId="2" borderId="45" xfId="0" applyNumberFormat="1" applyFont="1" applyFill="1" applyBorder="1" applyAlignment="1">
      <alignment horizontal="center" vertical="center"/>
    </xf>
    <xf numFmtId="165" fontId="4" fillId="2" borderId="53" xfId="0" applyNumberFormat="1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left" vertical="center" wrapText="1"/>
    </xf>
    <xf numFmtId="49" fontId="4" fillId="2" borderId="57" xfId="0" applyNumberFormat="1" applyFont="1" applyFill="1" applyBorder="1" applyAlignment="1">
      <alignment horizontal="left" vertical="center" wrapText="1"/>
    </xf>
    <xf numFmtId="49" fontId="4" fillId="2" borderId="56" xfId="0" applyNumberFormat="1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center" wrapText="1"/>
    </xf>
    <xf numFmtId="3" fontId="4" fillId="2" borderId="12" xfId="0" applyNumberFormat="1" applyFont="1" applyFill="1" applyBorder="1" applyAlignment="1">
      <alignment horizontal="center" wrapText="1"/>
    </xf>
    <xf numFmtId="3" fontId="4" fillId="2" borderId="13" xfId="0" applyNumberFormat="1" applyFont="1" applyFill="1" applyBorder="1" applyAlignment="1">
      <alignment horizontal="center" wrapText="1"/>
    </xf>
    <xf numFmtId="3" fontId="4" fillId="2" borderId="18" xfId="0" applyNumberFormat="1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 wrapText="1"/>
    </xf>
    <xf numFmtId="3" fontId="4" fillId="2" borderId="33" xfId="0" applyNumberFormat="1" applyFont="1" applyFill="1" applyBorder="1" applyAlignment="1">
      <alignment horizontal="center" wrapText="1"/>
    </xf>
    <xf numFmtId="14" fontId="4" fillId="3" borderId="13" xfId="0" applyNumberFormat="1" applyFont="1" applyFill="1" applyBorder="1" applyAlignment="1">
      <alignment horizontal="center" vertical="center" wrapText="1"/>
    </xf>
    <xf numFmtId="3" fontId="4" fillId="2" borderId="77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/>
    </xf>
    <xf numFmtId="3" fontId="4" fillId="2" borderId="59" xfId="0" applyNumberFormat="1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 vertical="center"/>
    </xf>
    <xf numFmtId="165" fontId="6" fillId="2" borderId="86" xfId="0" applyNumberFormat="1" applyFont="1" applyFill="1" applyBorder="1" applyAlignment="1">
      <alignment horizontal="center" vertical="center"/>
    </xf>
    <xf numFmtId="165" fontId="4" fillId="2" borderId="45" xfId="0" applyNumberFormat="1" applyFont="1" applyFill="1" applyBorder="1" applyAlignment="1">
      <alignment horizontal="center"/>
    </xf>
    <xf numFmtId="165" fontId="4" fillId="2" borderId="54" xfId="0" applyNumberFormat="1" applyFont="1" applyFill="1" applyBorder="1" applyAlignment="1">
      <alignment horizontal="center"/>
    </xf>
    <xf numFmtId="165" fontId="6" fillId="2" borderId="87" xfId="0" applyNumberFormat="1" applyFont="1" applyFill="1" applyBorder="1" applyAlignment="1">
      <alignment horizontal="center" vertical="center"/>
    </xf>
    <xf numFmtId="165" fontId="4" fillId="2" borderId="47" xfId="0" applyNumberFormat="1" applyFont="1" applyFill="1" applyBorder="1" applyAlignment="1">
      <alignment horizontal="center" vertical="center"/>
    </xf>
    <xf numFmtId="166" fontId="4" fillId="2" borderId="10" xfId="0" applyNumberFormat="1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8" fillId="2" borderId="87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81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3" fontId="8" fillId="2" borderId="82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9" fillId="2" borderId="50" xfId="0" applyNumberFormat="1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164" fontId="9" fillId="2" borderId="39" xfId="0" applyNumberFormat="1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165" fontId="4" fillId="2" borderId="11" xfId="0" applyNumberFormat="1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 wrapText="1"/>
    </xf>
    <xf numFmtId="165" fontId="4" fillId="2" borderId="1" xfId="0" quotePrefix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left" vertical="center" wrapText="1" indent="2"/>
    </xf>
    <xf numFmtId="49" fontId="4" fillId="2" borderId="57" xfId="0" applyNumberFormat="1" applyFont="1" applyFill="1" applyBorder="1" applyAlignment="1">
      <alignment horizontal="left" vertical="center" wrapText="1" indent="2"/>
    </xf>
    <xf numFmtId="49" fontId="4" fillId="2" borderId="56" xfId="0" applyNumberFormat="1" applyFont="1" applyFill="1" applyBorder="1" applyAlignment="1">
      <alignment horizontal="left" vertical="center" wrapText="1" indent="2"/>
    </xf>
    <xf numFmtId="3" fontId="4" fillId="2" borderId="83" xfId="0" applyNumberFormat="1" applyFont="1" applyFill="1" applyBorder="1"/>
    <xf numFmtId="0" fontId="4" fillId="2" borderId="83" xfId="0" applyFont="1" applyFill="1" applyBorder="1" applyAlignment="1">
      <alignment horizontal="center" vertical="center"/>
    </xf>
    <xf numFmtId="3" fontId="4" fillId="2" borderId="1" xfId="0" quotePrefix="1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/>
    </xf>
    <xf numFmtId="3" fontId="6" fillId="2" borderId="5" xfId="0" quotePrefix="1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3" borderId="84" xfId="0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3" fontId="6" fillId="2" borderId="95" xfId="0" applyNumberFormat="1" applyFont="1" applyFill="1" applyBorder="1" applyAlignment="1">
      <alignment horizontal="center" vertical="center" wrapText="1"/>
    </xf>
    <xf numFmtId="165" fontId="6" fillId="2" borderId="96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/>
    </xf>
    <xf numFmtId="3" fontId="8" fillId="2" borderId="51" xfId="0" applyNumberFormat="1" applyFont="1" applyFill="1" applyBorder="1" applyAlignment="1">
      <alignment horizontal="center" vertical="center" wrapText="1"/>
    </xf>
    <xf numFmtId="3" fontId="4" fillId="2" borderId="83" xfId="0" applyNumberFormat="1" applyFont="1" applyFill="1" applyBorder="1" applyAlignment="1">
      <alignment horizontal="left" vertical="center"/>
    </xf>
    <xf numFmtId="3" fontId="4" fillId="8" borderId="1" xfId="0" applyNumberFormat="1" applyFont="1" applyFill="1" applyBorder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13" fillId="2" borderId="0" xfId="0" applyFont="1" applyFill="1"/>
    <xf numFmtId="0" fontId="20" fillId="2" borderId="67" xfId="0" applyFont="1" applyFill="1" applyBorder="1" applyAlignment="1">
      <alignment horizontal="left" vertical="center"/>
    </xf>
    <xf numFmtId="2" fontId="20" fillId="2" borderId="50" xfId="0" applyNumberFormat="1" applyFont="1" applyFill="1" applyBorder="1" applyAlignment="1">
      <alignment horizontal="center" vertical="center"/>
    </xf>
    <xf numFmtId="4" fontId="20" fillId="2" borderId="39" xfId="0" quotePrefix="1" applyNumberFormat="1" applyFont="1" applyFill="1" applyBorder="1" applyAlignment="1">
      <alignment horizontal="center" vertical="center"/>
    </xf>
    <xf numFmtId="4" fontId="19" fillId="3" borderId="27" xfId="0" quotePrefix="1" applyNumberFormat="1" applyFont="1" applyFill="1" applyBorder="1" applyAlignment="1">
      <alignment horizontal="center" vertical="center"/>
    </xf>
    <xf numFmtId="2" fontId="19" fillId="2" borderId="0" xfId="0" applyNumberFormat="1" applyFont="1" applyFill="1" applyBorder="1" applyAlignment="1">
      <alignment horizontal="center" vertical="center"/>
    </xf>
    <xf numFmtId="4" fontId="1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left" vertical="center" indent="3"/>
    </xf>
    <xf numFmtId="0" fontId="19" fillId="2" borderId="19" xfId="0" applyFont="1" applyFill="1" applyBorder="1" applyAlignment="1">
      <alignment horizontal="left" vertical="center" wrapText="1" indent="3"/>
    </xf>
    <xf numFmtId="0" fontId="19" fillId="2" borderId="71" xfId="0" applyFont="1" applyFill="1" applyBorder="1" applyAlignment="1">
      <alignment horizontal="left" vertical="center" wrapText="1" indent="3"/>
    </xf>
    <xf numFmtId="2" fontId="19" fillId="2" borderId="11" xfId="0" applyNumberFormat="1" applyFont="1" applyFill="1" applyBorder="1" applyAlignment="1">
      <alignment horizontal="center" vertical="center"/>
    </xf>
    <xf numFmtId="165" fontId="4" fillId="2" borderId="18" xfId="0" applyNumberFormat="1" applyFont="1" applyFill="1" applyBorder="1" applyAlignment="1">
      <alignment horizontal="center" vertical="center"/>
    </xf>
    <xf numFmtId="165" fontId="4" fillId="2" borderId="33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 indent="2"/>
    </xf>
    <xf numFmtId="0" fontId="4" fillId="2" borderId="0" xfId="0" applyFont="1" applyFill="1" applyBorder="1" applyAlignment="1">
      <alignment horizontal="center" vertical="center" wrapText="1"/>
    </xf>
    <xf numFmtId="14" fontId="4" fillId="8" borderId="50" xfId="0" applyNumberFormat="1" applyFont="1" applyFill="1" applyBorder="1" applyAlignment="1">
      <alignment horizontal="center" vertical="center" wrapText="1"/>
    </xf>
    <xf numFmtId="14" fontId="4" fillId="8" borderId="58" xfId="0" applyNumberFormat="1" applyFont="1" applyFill="1" applyBorder="1" applyAlignment="1">
      <alignment horizontal="center" vertical="center" wrapText="1"/>
    </xf>
    <xf numFmtId="0" fontId="4" fillId="8" borderId="92" xfId="0" applyFont="1" applyFill="1" applyBorder="1" applyAlignment="1">
      <alignment horizontal="center" vertical="center" wrapText="1"/>
    </xf>
    <xf numFmtId="0" fontId="4" fillId="8" borderId="37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4" fillId="8" borderId="39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/>
    </xf>
    <xf numFmtId="3" fontId="6" fillId="3" borderId="56" xfId="0" applyNumberFormat="1" applyFont="1" applyFill="1" applyBorder="1" applyAlignment="1">
      <alignment horizontal="center" vertical="center"/>
    </xf>
    <xf numFmtId="3" fontId="13" fillId="3" borderId="50" xfId="0" applyNumberFormat="1" applyFont="1" applyFill="1" applyBorder="1" applyAlignment="1">
      <alignment horizontal="center" vertical="center"/>
    </xf>
    <xf numFmtId="3" fontId="13" fillId="3" borderId="58" xfId="0" applyNumberFormat="1" applyFont="1" applyFill="1" applyBorder="1" applyAlignment="1">
      <alignment horizontal="center" vertical="center"/>
    </xf>
    <xf numFmtId="3" fontId="4" fillId="3" borderId="82" xfId="0" applyNumberFormat="1" applyFont="1" applyFill="1" applyBorder="1" applyAlignment="1">
      <alignment horizontal="center" vertical="center"/>
    </xf>
    <xf numFmtId="3" fontId="4" fillId="3" borderId="43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3" fontId="4" fillId="3" borderId="21" xfId="0" applyNumberFormat="1" applyFont="1" applyFill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3" fontId="4" fillId="3" borderId="59" xfId="0" applyNumberFormat="1" applyFont="1" applyFill="1" applyBorder="1" applyAlignment="1">
      <alignment horizontal="center" vertical="center"/>
    </xf>
    <xf numFmtId="3" fontId="4" fillId="2" borderId="97" xfId="0" applyNumberFormat="1" applyFont="1" applyFill="1" applyBorder="1"/>
    <xf numFmtId="3" fontId="9" fillId="2" borderId="12" xfId="0" applyNumberFormat="1" applyFont="1" applyFill="1" applyBorder="1" applyAlignment="1">
      <alignment horizontal="center" vertical="center" wrapText="1"/>
    </xf>
    <xf numFmtId="3" fontId="4" fillId="2" borderId="26" xfId="0" applyNumberFormat="1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3" fontId="4" fillId="2" borderId="98" xfId="0" quotePrefix="1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wrapText="1"/>
    </xf>
    <xf numFmtId="165" fontId="6" fillId="2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165" fontId="4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left" vertical="center"/>
    </xf>
    <xf numFmtId="165" fontId="4" fillId="2" borderId="8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/>
    </xf>
    <xf numFmtId="164" fontId="4" fillId="2" borderId="0" xfId="0" quotePrefix="1" applyNumberFormat="1" applyFont="1" applyFill="1" applyBorder="1" applyAlignment="1">
      <alignment horizontal="center"/>
    </xf>
    <xf numFmtId="165" fontId="8" fillId="4" borderId="0" xfId="0" quotePrefix="1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4" fillId="8" borderId="39" xfId="0" applyFont="1" applyFill="1" applyBorder="1" applyAlignment="1">
      <alignment horizontal="center" wrapText="1"/>
    </xf>
    <xf numFmtId="0" fontId="4" fillId="3" borderId="54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4" fontId="4" fillId="3" borderId="52" xfId="0" applyNumberFormat="1" applyFont="1" applyFill="1" applyBorder="1" applyAlignment="1">
      <alignment horizontal="center" vertical="center" wrapText="1"/>
    </xf>
    <xf numFmtId="3" fontId="4" fillId="2" borderId="98" xfId="0" applyNumberFormat="1" applyFont="1" applyFill="1" applyBorder="1" applyAlignment="1">
      <alignment horizontal="center" vertical="center"/>
    </xf>
    <xf numFmtId="14" fontId="4" fillId="3" borderId="57" xfId="0" applyNumberFormat="1" applyFont="1" applyFill="1" applyBorder="1" applyAlignment="1">
      <alignment horizontal="center" vertical="center" wrapText="1"/>
    </xf>
    <xf numFmtId="3" fontId="4" fillId="2" borderId="99" xfId="0" applyNumberFormat="1" applyFont="1" applyFill="1" applyBorder="1" applyAlignment="1">
      <alignment horizontal="center" vertical="center"/>
    </xf>
    <xf numFmtId="165" fontId="4" fillId="2" borderId="7" xfId="0" applyNumberFormat="1" applyFont="1" applyFill="1" applyBorder="1" applyAlignment="1">
      <alignment horizontal="center" vertical="center"/>
    </xf>
    <xf numFmtId="165" fontId="4" fillId="2" borderId="34" xfId="0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left" vertical="center" wrapText="1"/>
    </xf>
    <xf numFmtId="3" fontId="6" fillId="9" borderId="57" xfId="0" applyNumberFormat="1" applyFont="1" applyFill="1" applyBorder="1" applyAlignment="1">
      <alignment horizontal="center" vertical="center"/>
    </xf>
    <xf numFmtId="3" fontId="6" fillId="9" borderId="4" xfId="0" applyNumberFormat="1" applyFont="1" applyFill="1" applyBorder="1" applyAlignment="1">
      <alignment horizontal="center" vertical="center"/>
    </xf>
    <xf numFmtId="3" fontId="6" fillId="9" borderId="3" xfId="0" applyNumberFormat="1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165" fontId="6" fillId="9" borderId="52" xfId="0" applyNumberFormat="1" applyFont="1" applyFill="1" applyBorder="1" applyAlignment="1">
      <alignment horizontal="center" vertical="center"/>
    </xf>
    <xf numFmtId="165" fontId="6" fillId="9" borderId="4" xfId="0" applyNumberFormat="1" applyFont="1" applyFill="1" applyBorder="1" applyAlignment="1">
      <alignment horizontal="center" vertical="center"/>
    </xf>
    <xf numFmtId="165" fontId="6" fillId="9" borderId="3" xfId="0" applyNumberFormat="1" applyFont="1" applyFill="1" applyBorder="1" applyAlignment="1">
      <alignment horizontal="center" vertical="center"/>
    </xf>
    <xf numFmtId="165" fontId="6" fillId="9" borderId="6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center" wrapText="1"/>
    </xf>
    <xf numFmtId="3" fontId="4" fillId="3" borderId="20" xfId="0" applyNumberFormat="1" applyFont="1" applyFill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165" fontId="4" fillId="3" borderId="45" xfId="0" applyNumberFormat="1" applyFont="1" applyFill="1" applyBorder="1" applyAlignment="1">
      <alignment horizontal="center" vertical="center"/>
    </xf>
    <xf numFmtId="165" fontId="4" fillId="3" borderId="9" xfId="0" applyNumberFormat="1" applyFont="1" applyFill="1" applyBorder="1" applyAlignment="1">
      <alignment horizontal="center" vertical="center"/>
    </xf>
    <xf numFmtId="165" fontId="4" fillId="3" borderId="18" xfId="0" applyNumberFormat="1" applyFont="1" applyFill="1" applyBorder="1" applyAlignment="1">
      <alignment horizontal="center" vertical="center"/>
    </xf>
    <xf numFmtId="165" fontId="4" fillId="3" borderId="10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34" xfId="0" applyNumberFormat="1" applyFont="1" applyFill="1" applyBorder="1" applyAlignment="1">
      <alignment horizontal="center" vertical="center" wrapText="1"/>
    </xf>
    <xf numFmtId="3" fontId="4" fillId="2" borderId="35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/>
    <xf numFmtId="0" fontId="24" fillId="2" borderId="0" xfId="0" applyFont="1" applyFill="1"/>
    <xf numFmtId="0" fontId="24" fillId="2" borderId="1" xfId="0" applyFont="1" applyFill="1" applyBorder="1" applyAlignment="1">
      <alignment horizontal="center" vertical="center"/>
    </xf>
    <xf numFmtId="3" fontId="24" fillId="2" borderId="1" xfId="0" applyNumberFormat="1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/>
    </xf>
    <xf numFmtId="3" fontId="24" fillId="3" borderId="1" xfId="0" applyNumberFormat="1" applyFont="1" applyFill="1" applyBorder="1" applyAlignment="1">
      <alignment horizontal="center" vertical="center"/>
    </xf>
    <xf numFmtId="164" fontId="24" fillId="3" borderId="1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/>
    <xf numFmtId="164" fontId="9" fillId="2" borderId="6" xfId="2" applyNumberFormat="1" applyFont="1" applyFill="1" applyBorder="1" applyAlignment="1">
      <alignment horizontal="center" vertical="center" wrapText="1"/>
    </xf>
    <xf numFmtId="164" fontId="4" fillId="3" borderId="66" xfId="0" applyNumberFormat="1" applyFont="1" applyFill="1" applyBorder="1" applyAlignment="1">
      <alignment horizontal="center" vertical="center"/>
    </xf>
    <xf numFmtId="164" fontId="10" fillId="3" borderId="10" xfId="0" applyNumberFormat="1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horizontal="center"/>
    </xf>
    <xf numFmtId="164" fontId="10" fillId="2" borderId="10" xfId="0" quotePrefix="1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/>
    </xf>
    <xf numFmtId="1" fontId="8" fillId="2" borderId="32" xfId="0" applyNumberFormat="1" applyFont="1" applyFill="1" applyBorder="1" applyAlignment="1">
      <alignment horizontal="center" vertical="center" wrapText="1"/>
    </xf>
    <xf numFmtId="1" fontId="8" fillId="2" borderId="18" xfId="0" applyNumberFormat="1" applyFont="1" applyFill="1" applyBorder="1" applyAlignment="1">
      <alignment horizontal="center" vertical="center" wrapText="1"/>
    </xf>
    <xf numFmtId="1" fontId="8" fillId="2" borderId="63" xfId="0" applyNumberFormat="1" applyFont="1" applyFill="1" applyBorder="1" applyAlignment="1">
      <alignment horizontal="center" vertical="center" wrapText="1"/>
    </xf>
    <xf numFmtId="1" fontId="4" fillId="2" borderId="18" xfId="0" applyNumberFormat="1" applyFont="1" applyFill="1" applyBorder="1" applyAlignment="1">
      <alignment horizontal="center"/>
    </xf>
    <xf numFmtId="1" fontId="8" fillId="2" borderId="18" xfId="0" quotePrefix="1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left" vertical="center" wrapText="1"/>
    </xf>
    <xf numFmtId="164" fontId="8" fillId="3" borderId="10" xfId="0" quotePrefix="1" applyNumberFormat="1" applyFont="1" applyFill="1" applyBorder="1" applyAlignment="1">
      <alignment horizontal="left" vertical="center" wrapText="1"/>
    </xf>
    <xf numFmtId="164" fontId="4" fillId="2" borderId="10" xfId="0" applyNumberFormat="1" applyFont="1" applyFill="1" applyBorder="1" applyAlignment="1">
      <alignment horizontal="left"/>
    </xf>
    <xf numFmtId="164" fontId="8" fillId="2" borderId="10" xfId="0" quotePrefix="1" applyNumberFormat="1" applyFont="1" applyFill="1" applyBorder="1" applyAlignment="1">
      <alignment horizontal="left" vertical="center" wrapText="1"/>
    </xf>
    <xf numFmtId="164" fontId="4" fillId="3" borderId="10" xfId="0" applyNumberFormat="1" applyFont="1" applyFill="1" applyBorder="1" applyAlignment="1">
      <alignment horizontal="left"/>
    </xf>
    <xf numFmtId="164" fontId="9" fillId="2" borderId="0" xfId="2" applyNumberFormat="1" applyFont="1" applyFill="1" applyBorder="1" applyAlignment="1">
      <alignment horizontal="center" vertical="center" wrapText="1"/>
    </xf>
    <xf numFmtId="164" fontId="4" fillId="2" borderId="68" xfId="0" applyNumberFormat="1" applyFont="1" applyFill="1" applyBorder="1" applyAlignment="1">
      <alignment horizontal="center" vertical="center"/>
    </xf>
    <xf numFmtId="1" fontId="5" fillId="2" borderId="100" xfId="0" applyNumberFormat="1" applyFont="1" applyFill="1" applyBorder="1" applyAlignment="1">
      <alignment horizontal="center"/>
    </xf>
    <xf numFmtId="164" fontId="5" fillId="2" borderId="100" xfId="0" applyNumberFormat="1" applyFont="1" applyFill="1" applyBorder="1" applyAlignment="1">
      <alignment horizontal="left"/>
    </xf>
    <xf numFmtId="164" fontId="5" fillId="2" borderId="100" xfId="0" applyNumberFormat="1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 vertical="center" wrapText="1"/>
    </xf>
    <xf numFmtId="164" fontId="8" fillId="3" borderId="10" xfId="0" quotePrefix="1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64" fontId="8" fillId="3" borderId="27" xfId="0" applyNumberFormat="1" applyFont="1" applyFill="1" applyBorder="1" applyAlignment="1">
      <alignment horizontal="left" vertical="center" wrapText="1"/>
    </xf>
    <xf numFmtId="164" fontId="8" fillId="3" borderId="27" xfId="0" applyNumberFormat="1" applyFont="1" applyFill="1" applyBorder="1" applyAlignment="1">
      <alignment horizontal="center" vertical="center" wrapText="1"/>
    </xf>
    <xf numFmtId="164" fontId="8" fillId="3" borderId="49" xfId="0" applyNumberFormat="1" applyFont="1" applyFill="1" applyBorder="1" applyAlignment="1">
      <alignment horizontal="left" vertical="center" wrapText="1"/>
    </xf>
    <xf numFmtId="164" fontId="8" fillId="3" borderId="49" xfId="0" applyNumberFormat="1" applyFont="1" applyFill="1" applyBorder="1" applyAlignment="1">
      <alignment horizontal="center" vertical="center" wrapText="1"/>
    </xf>
    <xf numFmtId="0" fontId="19" fillId="3" borderId="64" xfId="0" applyFont="1" applyFill="1" applyBorder="1" applyAlignment="1">
      <alignment horizontal="left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wrapText="1"/>
    </xf>
    <xf numFmtId="3" fontId="4" fillId="2" borderId="0" xfId="0" applyNumberFormat="1" applyFont="1" applyFill="1" applyBorder="1" applyAlignment="1">
      <alignment horizontal="center"/>
    </xf>
    <xf numFmtId="3" fontId="4" fillId="9" borderId="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3" fontId="9" fillId="3" borderId="5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3" borderId="82" xfId="0" applyFont="1" applyFill="1" applyBorder="1" applyAlignment="1">
      <alignment vertical="center" wrapText="1"/>
    </xf>
    <xf numFmtId="0" fontId="10" fillId="3" borderId="26" xfId="0" applyFont="1" applyFill="1" applyBorder="1" applyAlignment="1">
      <alignment horizontal="center" vertical="center" wrapText="1"/>
    </xf>
    <xf numFmtId="164" fontId="10" fillId="3" borderId="27" xfId="0" applyNumberFormat="1" applyFont="1" applyFill="1" applyBorder="1" applyAlignment="1">
      <alignment horizontal="center" vertical="center" wrapText="1"/>
    </xf>
    <xf numFmtId="2" fontId="8" fillId="3" borderId="64" xfId="0" quotePrefix="1" applyNumberFormat="1" applyFont="1" applyFill="1" applyBorder="1" applyAlignment="1">
      <alignment horizontal="center" vertical="center" wrapText="1"/>
    </xf>
    <xf numFmtId="164" fontId="4" fillId="9" borderId="0" xfId="0" applyNumberFormat="1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 vertical="center"/>
    </xf>
    <xf numFmtId="0" fontId="24" fillId="2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left" vertical="center"/>
    </xf>
    <xf numFmtId="0" fontId="4" fillId="2" borderId="0" xfId="0" applyFont="1" applyFill="1" applyAlignment="1"/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3" fontId="6" fillId="2" borderId="35" xfId="0" applyNumberFormat="1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2" borderId="84" xfId="0" applyNumberFormat="1" applyFont="1" applyFill="1" applyBorder="1" applyAlignment="1">
      <alignment horizontal="center" vertical="center"/>
    </xf>
    <xf numFmtId="3" fontId="4" fillId="2" borderId="80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 vertical="center" wrapText="1" indent="1"/>
    </xf>
    <xf numFmtId="165" fontId="4" fillId="2" borderId="0" xfId="0" applyNumberFormat="1" applyFont="1" applyFill="1" applyAlignment="1">
      <alignment horizontal="center"/>
    </xf>
    <xf numFmtId="3" fontId="8" fillId="4" borderId="29" xfId="0" quotePrefix="1" applyNumberFormat="1" applyFont="1" applyFill="1" applyBorder="1" applyAlignment="1">
      <alignment horizontal="center" vertical="center"/>
    </xf>
    <xf numFmtId="3" fontId="4" fillId="2" borderId="30" xfId="0" applyNumberFormat="1" applyFont="1" applyFill="1" applyBorder="1" applyAlignment="1">
      <alignment horizontal="center"/>
    </xf>
    <xf numFmtId="3" fontId="8" fillId="4" borderId="35" xfId="0" quotePrefix="1" applyNumberFormat="1" applyFont="1" applyFill="1" applyBorder="1" applyAlignment="1">
      <alignment horizontal="center" vertical="center"/>
    </xf>
    <xf numFmtId="165" fontId="4" fillId="3" borderId="57" xfId="0" applyNumberFormat="1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165" fontId="8" fillId="4" borderId="10" xfId="0" applyNumberFormat="1" applyFont="1" applyFill="1" applyBorder="1" applyAlignment="1">
      <alignment horizontal="center" vertical="center"/>
    </xf>
    <xf numFmtId="165" fontId="8" fillId="4" borderId="13" xfId="0" applyNumberFormat="1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3" fontId="6" fillId="9" borderId="5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92" xfId="0" applyFont="1" applyFill="1" applyBorder="1" applyAlignment="1">
      <alignment horizontal="left" vertical="center" wrapText="1"/>
    </xf>
    <xf numFmtId="3" fontId="6" fillId="9" borderId="28" xfId="0" applyNumberFormat="1" applyFont="1" applyFill="1" applyBorder="1" applyAlignment="1">
      <alignment horizontal="center" vertical="center"/>
    </xf>
    <xf numFmtId="3" fontId="4" fillId="3" borderId="30" xfId="0" applyNumberFormat="1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left" vertical="center" wrapText="1"/>
    </xf>
    <xf numFmtId="165" fontId="5" fillId="2" borderId="10" xfId="0" applyNumberFormat="1" applyFont="1" applyFill="1" applyBorder="1" applyAlignment="1">
      <alignment horizontal="center" vertical="center"/>
    </xf>
    <xf numFmtId="165" fontId="5" fillId="3" borderId="10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 wrapText="1"/>
    </xf>
    <xf numFmtId="165" fontId="5" fillId="2" borderId="27" xfId="0" applyNumberFormat="1" applyFont="1" applyFill="1" applyBorder="1" applyAlignment="1">
      <alignment horizontal="center" vertical="center"/>
    </xf>
    <xf numFmtId="3" fontId="4" fillId="2" borderId="27" xfId="0" applyNumberFormat="1" applyFont="1" applyFill="1" applyBorder="1" applyAlignment="1">
      <alignment horizontal="center" vertical="center"/>
    </xf>
    <xf numFmtId="3" fontId="4" fillId="2" borderId="82" xfId="0" applyNumberFormat="1" applyFont="1" applyFill="1" applyBorder="1" applyAlignment="1">
      <alignment horizontal="center" vertical="center" wrapText="1"/>
    </xf>
    <xf numFmtId="3" fontId="4" fillId="3" borderId="9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3" fontId="6" fillId="2" borderId="4" xfId="0" quotePrefix="1" applyNumberFormat="1" applyFont="1" applyFill="1" applyBorder="1" applyAlignment="1">
      <alignment horizontal="center" vertical="center" wrapText="1"/>
    </xf>
    <xf numFmtId="3" fontId="6" fillId="2" borderId="6" xfId="0" quotePrefix="1" applyNumberFormat="1" applyFont="1" applyFill="1" applyBorder="1" applyAlignment="1">
      <alignment horizontal="center" vertical="center" wrapText="1"/>
    </xf>
    <xf numFmtId="3" fontId="4" fillId="2" borderId="32" xfId="0" applyNumberFormat="1" applyFont="1" applyFill="1" applyBorder="1" applyAlignment="1">
      <alignment horizontal="center" vertical="center" wrapText="1"/>
    </xf>
    <xf numFmtId="3" fontId="4" fillId="3" borderId="18" xfId="0" applyNumberFormat="1" applyFont="1" applyFill="1" applyBorder="1" applyAlignment="1">
      <alignment horizontal="center" vertical="center" wrapText="1"/>
    </xf>
    <xf numFmtId="3" fontId="4" fillId="2" borderId="33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19" fillId="3" borderId="24" xfId="0" applyFont="1" applyFill="1" applyBorder="1" applyAlignment="1">
      <alignment horizontal="center" vertical="center" wrapText="1"/>
    </xf>
    <xf numFmtId="0" fontId="19" fillId="2" borderId="48" xfId="0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  <xf numFmtId="2" fontId="20" fillId="2" borderId="39" xfId="0" applyNumberFormat="1" applyFont="1" applyFill="1" applyBorder="1" applyAlignment="1">
      <alignment horizontal="center" vertical="center"/>
    </xf>
    <xf numFmtId="2" fontId="20" fillId="2" borderId="0" xfId="0" applyNumberFormat="1" applyFont="1" applyFill="1" applyBorder="1" applyAlignment="1">
      <alignment horizontal="center" vertical="center"/>
    </xf>
    <xf numFmtId="4" fontId="20" fillId="2" borderId="38" xfId="0" quotePrefix="1" applyNumberFormat="1" applyFont="1" applyFill="1" applyBorder="1" applyAlignment="1">
      <alignment horizontal="center" vertical="center"/>
    </xf>
    <xf numFmtId="4" fontId="20" fillId="2" borderId="0" xfId="0" quotePrefix="1" applyNumberFormat="1" applyFont="1" applyFill="1" applyBorder="1" applyAlignment="1">
      <alignment horizontal="center" vertical="center"/>
    </xf>
    <xf numFmtId="165" fontId="20" fillId="2" borderId="50" xfId="0" applyNumberFormat="1" applyFont="1" applyFill="1" applyBorder="1" applyAlignment="1">
      <alignment horizontal="center" vertical="center"/>
    </xf>
    <xf numFmtId="2" fontId="19" fillId="2" borderId="0" xfId="0" applyNumberFormat="1" applyFont="1" applyFill="1" applyBorder="1" applyAlignment="1">
      <alignment horizontal="center" vertical="center" wrapText="1"/>
    </xf>
    <xf numFmtId="165" fontId="19" fillId="3" borderId="22" xfId="0" applyNumberFormat="1" applyFont="1" applyFill="1" applyBorder="1" applyAlignment="1">
      <alignment horizontal="center" vertical="center"/>
    </xf>
    <xf numFmtId="4" fontId="19" fillId="3" borderId="23" xfId="0" quotePrefix="1" applyNumberFormat="1" applyFont="1" applyFill="1" applyBorder="1" applyAlignment="1">
      <alignment horizontal="center" vertical="center"/>
    </xf>
    <xf numFmtId="4" fontId="19" fillId="3" borderId="24" xfId="0" quotePrefix="1" applyNumberFormat="1" applyFont="1" applyFill="1" applyBorder="1" applyAlignment="1">
      <alignment horizontal="center" vertical="center"/>
    </xf>
    <xf numFmtId="4" fontId="19" fillId="2" borderId="0" xfId="0" quotePrefix="1" applyNumberFormat="1" applyFont="1" applyFill="1" applyBorder="1" applyAlignment="1">
      <alignment horizontal="center" vertical="center"/>
    </xf>
    <xf numFmtId="0" fontId="19" fillId="2" borderId="101" xfId="0" applyFont="1" applyFill="1" applyBorder="1" applyAlignment="1">
      <alignment horizontal="left" vertical="center" wrapText="1"/>
    </xf>
    <xf numFmtId="2" fontId="19" fillId="2" borderId="49" xfId="0" applyNumberFormat="1" applyFont="1" applyFill="1" applyBorder="1" applyAlignment="1">
      <alignment horizontal="center" vertical="center"/>
    </xf>
    <xf numFmtId="165" fontId="19" fillId="2" borderId="51" xfId="0" quotePrefix="1" applyNumberFormat="1" applyFont="1" applyFill="1" applyBorder="1" applyAlignment="1">
      <alignment horizontal="center" vertical="center"/>
    </xf>
    <xf numFmtId="4" fontId="20" fillId="2" borderId="40" xfId="0" quotePrefix="1" applyNumberFormat="1" applyFont="1" applyFill="1" applyBorder="1" applyAlignment="1">
      <alignment horizontal="center" vertical="center"/>
    </xf>
    <xf numFmtId="165" fontId="19" fillId="2" borderId="13" xfId="0" quotePrefix="1" applyNumberFormat="1" applyFont="1" applyFill="1" applyBorder="1" applyAlignment="1">
      <alignment horizontal="center" vertical="center"/>
    </xf>
    <xf numFmtId="165" fontId="19" fillId="2" borderId="0" xfId="0" quotePrefix="1" applyNumberFormat="1" applyFont="1" applyFill="1" applyBorder="1" applyAlignment="1">
      <alignment horizontal="center" vertical="center"/>
    </xf>
    <xf numFmtId="165" fontId="19" fillId="2" borderId="51" xfId="0" applyNumberFormat="1" applyFont="1" applyFill="1" applyBorder="1" applyAlignment="1">
      <alignment horizontal="center" vertical="center"/>
    </xf>
    <xf numFmtId="165" fontId="19" fillId="2" borderId="49" xfId="0" quotePrefix="1" applyNumberFormat="1" applyFont="1" applyFill="1" applyBorder="1" applyAlignment="1">
      <alignment horizontal="center" vertical="center"/>
    </xf>
    <xf numFmtId="0" fontId="19" fillId="3" borderId="55" xfId="0" applyFont="1" applyFill="1" applyBorder="1" applyAlignment="1">
      <alignment horizontal="left" vertical="center" wrapText="1"/>
    </xf>
    <xf numFmtId="2" fontId="19" fillId="3" borderId="4" xfId="0" applyNumberFormat="1" applyFont="1" applyFill="1" applyBorder="1" applyAlignment="1">
      <alignment horizontal="center" vertical="center"/>
    </xf>
    <xf numFmtId="2" fontId="19" fillId="3" borderId="6" xfId="0" applyNumberFormat="1" applyFont="1" applyFill="1" applyBorder="1" applyAlignment="1">
      <alignment horizontal="center" vertical="center"/>
    </xf>
    <xf numFmtId="165" fontId="19" fillId="3" borderId="4" xfId="0" applyNumberFormat="1" applyFont="1" applyFill="1" applyBorder="1" applyAlignment="1">
      <alignment horizontal="center" vertical="center"/>
    </xf>
    <xf numFmtId="165" fontId="19" fillId="3" borderId="5" xfId="0" applyNumberFormat="1" applyFont="1" applyFill="1" applyBorder="1" applyAlignment="1">
      <alignment horizontal="center" vertical="center"/>
    </xf>
    <xf numFmtId="165" fontId="19" fillId="3" borderId="6" xfId="0" quotePrefix="1" applyNumberFormat="1" applyFont="1" applyFill="1" applyBorder="1" applyAlignment="1">
      <alignment horizontal="center" vertical="center"/>
    </xf>
    <xf numFmtId="0" fontId="19" fillId="2" borderId="55" xfId="0" applyFont="1" applyFill="1" applyBorder="1" applyAlignment="1">
      <alignment horizontal="left" vertical="center" wrapText="1"/>
    </xf>
    <xf numFmtId="2" fontId="19" fillId="2" borderId="57" xfId="0" applyNumberFormat="1" applyFont="1" applyFill="1" applyBorder="1" applyAlignment="1">
      <alignment horizontal="center" vertical="center"/>
    </xf>
    <xf numFmtId="0" fontId="19" fillId="2" borderId="56" xfId="0" applyFont="1" applyFill="1" applyBorder="1" applyAlignment="1">
      <alignment horizontal="center" vertical="center" wrapText="1"/>
    </xf>
    <xf numFmtId="165" fontId="19" fillId="2" borderId="82" xfId="0" applyNumberFormat="1" applyFont="1" applyFill="1" applyBorder="1" applyAlignment="1">
      <alignment horizontal="center" vertical="center"/>
    </xf>
    <xf numFmtId="165" fontId="19" fillId="2" borderId="26" xfId="0" applyNumberFormat="1" applyFont="1" applyFill="1" applyBorder="1" applyAlignment="1">
      <alignment horizontal="center" vertical="center"/>
    </xf>
    <xf numFmtId="165" fontId="19" fillId="2" borderId="27" xfId="0" quotePrefix="1" applyNumberFormat="1" applyFont="1" applyFill="1" applyBorder="1" applyAlignment="1">
      <alignment horizontal="center" vertical="center"/>
    </xf>
    <xf numFmtId="165" fontId="19" fillId="2" borderId="27" xfId="0" applyNumberFormat="1" applyFont="1" applyFill="1" applyBorder="1" applyAlignment="1">
      <alignment horizontal="center" vertical="center"/>
    </xf>
    <xf numFmtId="165" fontId="19" fillId="2" borderId="9" xfId="0" applyNumberFormat="1" applyFont="1" applyFill="1" applyBorder="1" applyAlignment="1">
      <alignment horizontal="center" vertical="center"/>
    </xf>
    <xf numFmtId="165" fontId="19" fillId="2" borderId="1" xfId="0" applyNumberFormat="1" applyFont="1" applyFill="1" applyBorder="1" applyAlignment="1">
      <alignment horizontal="center" vertical="center"/>
    </xf>
    <xf numFmtId="165" fontId="19" fillId="2" borderId="10" xfId="0" quotePrefix="1" applyNumberFormat="1" applyFont="1" applyFill="1" applyBorder="1" applyAlignment="1">
      <alignment horizontal="center" vertical="center"/>
    </xf>
    <xf numFmtId="165" fontId="19" fillId="2" borderId="10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/>
    </xf>
    <xf numFmtId="0" fontId="20" fillId="3" borderId="41" xfId="0" applyFont="1" applyFill="1" applyBorder="1" applyAlignment="1">
      <alignment vertical="center" wrapText="1"/>
    </xf>
    <xf numFmtId="2" fontId="20" fillId="3" borderId="82" xfId="0" applyNumberFormat="1" applyFont="1" applyFill="1" applyBorder="1" applyAlignment="1">
      <alignment horizontal="center" vertical="center" wrapText="1"/>
    </xf>
    <xf numFmtId="2" fontId="20" fillId="3" borderId="43" xfId="0" applyNumberFormat="1" applyFont="1" applyFill="1" applyBorder="1" applyAlignment="1">
      <alignment horizontal="center" vertical="center" wrapText="1"/>
    </xf>
    <xf numFmtId="2" fontId="20" fillId="2" borderId="0" xfId="0" applyNumberFormat="1" applyFont="1" applyFill="1" applyBorder="1" applyAlignment="1">
      <alignment horizontal="center" vertical="center" wrapText="1"/>
    </xf>
    <xf numFmtId="4" fontId="19" fillId="3" borderId="82" xfId="0" quotePrefix="1" applyNumberFormat="1" applyFont="1" applyFill="1" applyBorder="1" applyAlignment="1">
      <alignment horizontal="center" vertical="center"/>
    </xf>
    <xf numFmtId="4" fontId="19" fillId="3" borderId="26" xfId="0" quotePrefix="1" applyNumberFormat="1" applyFont="1" applyFill="1" applyBorder="1" applyAlignment="1">
      <alignment horizontal="center" vertical="center"/>
    </xf>
    <xf numFmtId="165" fontId="20" fillId="3" borderId="82" xfId="0" applyNumberFormat="1" applyFont="1" applyFill="1" applyBorder="1" applyAlignment="1">
      <alignment horizontal="center" vertical="center"/>
    </xf>
    <xf numFmtId="165" fontId="20" fillId="3" borderId="26" xfId="0" quotePrefix="1" applyNumberFormat="1" applyFont="1" applyFill="1" applyBorder="1" applyAlignment="1">
      <alignment horizontal="center" vertical="center"/>
    </xf>
    <xf numFmtId="165" fontId="20" fillId="3" borderId="27" xfId="0" applyNumberFormat="1" applyFont="1" applyFill="1" applyBorder="1" applyAlignment="1">
      <alignment horizontal="center" vertical="center"/>
    </xf>
    <xf numFmtId="164" fontId="26" fillId="2" borderId="0" xfId="0" applyNumberFormat="1" applyFont="1" applyFill="1" applyAlignment="1">
      <alignment horizontal="center" vertical="center"/>
    </xf>
    <xf numFmtId="0" fontId="19" fillId="2" borderId="19" xfId="0" applyFont="1" applyFill="1" applyBorder="1" applyAlignment="1">
      <alignment horizontal="left" vertical="center" wrapText="1"/>
    </xf>
    <xf numFmtId="4" fontId="19" fillId="2" borderId="9" xfId="0" quotePrefix="1" applyNumberFormat="1" applyFont="1" applyFill="1" applyBorder="1" applyAlignment="1">
      <alignment horizontal="center" vertical="center"/>
    </xf>
    <xf numFmtId="4" fontId="19" fillId="2" borderId="1" xfId="0" quotePrefix="1" applyNumberFormat="1" applyFont="1" applyFill="1" applyBorder="1" applyAlignment="1">
      <alignment horizontal="center" vertical="center"/>
    </xf>
    <xf numFmtId="4" fontId="19" fillId="2" borderId="10" xfId="0" quotePrefix="1" applyNumberFormat="1" applyFont="1" applyFill="1" applyBorder="1" applyAlignment="1">
      <alignment horizontal="center" vertical="center"/>
    </xf>
    <xf numFmtId="165" fontId="19" fillId="2" borderId="1" xfId="0" quotePrefix="1" applyNumberFormat="1" applyFont="1" applyFill="1" applyBorder="1" applyAlignment="1">
      <alignment horizontal="center" vertical="center"/>
    </xf>
    <xf numFmtId="0" fontId="19" fillId="2" borderId="71" xfId="0" applyFont="1" applyFill="1" applyBorder="1" applyAlignment="1">
      <alignment horizontal="left" vertical="center" wrapText="1"/>
    </xf>
    <xf numFmtId="4" fontId="19" fillId="2" borderId="11" xfId="0" quotePrefix="1" applyNumberFormat="1" applyFont="1" applyFill="1" applyBorder="1" applyAlignment="1">
      <alignment horizontal="center" vertical="center"/>
    </xf>
    <xf numFmtId="4" fontId="19" fillId="2" borderId="12" xfId="0" quotePrefix="1" applyNumberFormat="1" applyFont="1" applyFill="1" applyBorder="1" applyAlignment="1">
      <alignment horizontal="center" vertical="center"/>
    </xf>
    <xf numFmtId="4" fontId="19" fillId="2" borderId="13" xfId="0" quotePrefix="1" applyNumberFormat="1" applyFont="1" applyFill="1" applyBorder="1" applyAlignment="1">
      <alignment horizontal="center" vertical="center"/>
    </xf>
    <xf numFmtId="165" fontId="19" fillId="2" borderId="11" xfId="0" applyNumberFormat="1" applyFont="1" applyFill="1" applyBorder="1" applyAlignment="1">
      <alignment horizontal="center" vertical="center"/>
    </xf>
    <xf numFmtId="165" fontId="19" fillId="2" borderId="13" xfId="0" applyNumberFormat="1" applyFont="1" applyFill="1" applyBorder="1" applyAlignment="1">
      <alignment horizontal="center" vertical="center"/>
    </xf>
    <xf numFmtId="0" fontId="19" fillId="3" borderId="67" xfId="0" applyFont="1" applyFill="1" applyBorder="1" applyAlignment="1">
      <alignment horizontal="left" vertical="center" wrapText="1"/>
    </xf>
    <xf numFmtId="165" fontId="19" fillId="3" borderId="50" xfId="0" applyNumberFormat="1" applyFont="1" applyFill="1" applyBorder="1" applyAlignment="1">
      <alignment horizontal="center" vertical="center"/>
    </xf>
    <xf numFmtId="4" fontId="19" fillId="3" borderId="38" xfId="0" quotePrefix="1" applyNumberFormat="1" applyFont="1" applyFill="1" applyBorder="1" applyAlignment="1">
      <alignment horizontal="center" vertical="center"/>
    </xf>
    <xf numFmtId="4" fontId="19" fillId="3" borderId="39" xfId="0" quotePrefix="1" applyNumberFormat="1" applyFont="1" applyFill="1" applyBorder="1" applyAlignment="1">
      <alignment horizontal="center" vertical="center"/>
    </xf>
    <xf numFmtId="0" fontId="5" fillId="2" borderId="0" xfId="0" applyFont="1" applyFill="1"/>
    <xf numFmtId="2" fontId="19" fillId="7" borderId="27" xfId="0" applyNumberFormat="1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2" fontId="19" fillId="7" borderId="10" xfId="0" applyNumberFormat="1" applyFont="1" applyFill="1" applyBorder="1" applyAlignment="1">
      <alignment horizontal="center" vertical="center" wrapText="1"/>
    </xf>
    <xf numFmtId="2" fontId="19" fillId="7" borderId="9" xfId="0" applyNumberFormat="1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2" fontId="19" fillId="7" borderId="82" xfId="0" applyNumberFormat="1" applyFont="1" applyFill="1" applyBorder="1" applyAlignment="1">
      <alignment horizontal="center" vertical="center"/>
    </xf>
    <xf numFmtId="2" fontId="19" fillId="7" borderId="50" xfId="0" applyNumberFormat="1" applyFont="1" applyFill="1" applyBorder="1" applyAlignment="1">
      <alignment horizontal="center" vertical="center"/>
    </xf>
    <xf numFmtId="0" fontId="19" fillId="7" borderId="39" xfId="0" applyFont="1" applyFill="1" applyBorder="1" applyAlignment="1">
      <alignment horizontal="center" vertical="center" wrapText="1"/>
    </xf>
    <xf numFmtId="2" fontId="19" fillId="7" borderId="22" xfId="0" applyNumberFormat="1" applyFont="1" applyFill="1" applyBorder="1" applyAlignment="1">
      <alignment horizontal="center" vertical="center"/>
    </xf>
    <xf numFmtId="2" fontId="19" fillId="7" borderId="24" xfId="0" applyNumberFormat="1" applyFont="1" applyFill="1" applyBorder="1" applyAlignment="1">
      <alignment horizontal="center" vertical="center" wrapText="1"/>
    </xf>
    <xf numFmtId="2" fontId="19" fillId="2" borderId="13" xfId="0" applyNumberFormat="1" applyFont="1" applyFill="1" applyBorder="1" applyAlignment="1">
      <alignment horizontal="center" vertical="center" wrapText="1"/>
    </xf>
    <xf numFmtId="4" fontId="27" fillId="2" borderId="0" xfId="0" applyNumberFormat="1" applyFont="1" applyFill="1" applyAlignment="1">
      <alignment horizontal="center" vertical="center"/>
    </xf>
    <xf numFmtId="165" fontId="27" fillId="2" borderId="0" xfId="0" applyNumberFormat="1" applyFont="1" applyFill="1" applyAlignment="1">
      <alignment horizontal="center" vertical="center"/>
    </xf>
    <xf numFmtId="165" fontId="27" fillId="2" borderId="0" xfId="0" applyNumberFormat="1" applyFont="1" applyFill="1" applyBorder="1" applyAlignment="1">
      <alignment horizontal="center" vertical="center"/>
    </xf>
    <xf numFmtId="165" fontId="27" fillId="2" borderId="0" xfId="0" applyNumberFormat="1" applyFont="1" applyFill="1" applyAlignment="1">
      <alignment horizontal="center" vertical="center" wrapText="1"/>
    </xf>
    <xf numFmtId="4" fontId="27" fillId="2" borderId="0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/>
    </xf>
    <xf numFmtId="164" fontId="20" fillId="2" borderId="50" xfId="0" applyNumberFormat="1" applyFont="1" applyFill="1" applyBorder="1" applyAlignment="1">
      <alignment horizontal="center" vertical="center"/>
    </xf>
    <xf numFmtId="2" fontId="21" fillId="7" borderId="10" xfId="0" applyNumberFormat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2" fontId="8" fillId="3" borderId="24" xfId="0" applyNumberFormat="1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center" vertical="center" wrapText="1"/>
    </xf>
    <xf numFmtId="2" fontId="8" fillId="3" borderId="64" xfId="0" applyNumberFormat="1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2" fontId="9" fillId="2" borderId="55" xfId="0" quotePrefix="1" applyNumberFormat="1" applyFont="1" applyFill="1" applyBorder="1" applyAlignment="1">
      <alignment horizontal="center" vertical="center" wrapText="1"/>
    </xf>
    <xf numFmtId="0" fontId="16" fillId="2" borderId="101" xfId="5" quotePrefix="1" applyFill="1" applyBorder="1" applyAlignment="1">
      <alignment horizontal="center" vertical="center" wrapText="1"/>
    </xf>
    <xf numFmtId="0" fontId="16" fillId="3" borderId="71" xfId="7" quotePrefix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wrapText="1"/>
    </xf>
    <xf numFmtId="2" fontId="9" fillId="2" borderId="6" xfId="0" applyNumberFormat="1" applyFont="1" applyFill="1" applyBorder="1" applyAlignment="1">
      <alignment horizontal="left" vertical="center" wrapText="1"/>
    </xf>
    <xf numFmtId="2" fontId="8" fillId="3" borderId="24" xfId="0" applyNumberFormat="1" applyFont="1" applyFill="1" applyBorder="1" applyAlignment="1">
      <alignment horizontal="left" vertical="center" wrapText="1"/>
    </xf>
    <xf numFmtId="0" fontId="16" fillId="2" borderId="49" xfId="5" quotePrefix="1" applyFill="1" applyBorder="1" applyAlignment="1">
      <alignment horizontal="left" vertical="center" wrapText="1"/>
    </xf>
    <xf numFmtId="0" fontId="16" fillId="3" borderId="13" xfId="7" quotePrefix="1" applyFill="1" applyBorder="1" applyAlignment="1">
      <alignment horizontal="left" vertical="center" wrapText="1"/>
    </xf>
    <xf numFmtId="3" fontId="9" fillId="2" borderId="4" xfId="2" applyNumberFormat="1" applyFont="1" applyFill="1" applyBorder="1" applyAlignment="1">
      <alignment horizontal="center" vertical="center" wrapText="1"/>
    </xf>
    <xf numFmtId="3" fontId="9" fillId="2" borderId="6" xfId="2" applyNumberFormat="1" applyFont="1" applyFill="1" applyBorder="1" applyAlignment="1">
      <alignment horizontal="center" vertical="center" wrapText="1"/>
    </xf>
    <xf numFmtId="2" fontId="8" fillId="3" borderId="22" xfId="0" applyNumberFormat="1" applyFont="1" applyFill="1" applyBorder="1" applyAlignment="1">
      <alignment horizontal="left" vertical="center" wrapText="1"/>
    </xf>
    <xf numFmtId="3" fontId="4" fillId="3" borderId="24" xfId="0" applyNumberFormat="1" applyFont="1" applyFill="1" applyBorder="1" applyAlignment="1">
      <alignment horizontal="center" vertical="center"/>
    </xf>
    <xf numFmtId="0" fontId="16" fillId="2" borderId="82" xfId="5" quotePrefix="1" applyFont="1" applyFill="1" applyBorder="1" applyAlignment="1">
      <alignment horizontal="center" vertical="center" wrapText="1"/>
    </xf>
    <xf numFmtId="0" fontId="16" fillId="2" borderId="9" xfId="5" quotePrefix="1" applyFont="1" applyFill="1" applyBorder="1" applyAlignment="1">
      <alignment horizontal="center" vertical="center" wrapText="1"/>
    </xf>
    <xf numFmtId="0" fontId="16" fillId="2" borderId="51" xfId="5" quotePrefix="1" applyFont="1" applyFill="1" applyBorder="1" applyAlignment="1">
      <alignment horizontal="center" vertical="center" wrapText="1"/>
    </xf>
    <xf numFmtId="3" fontId="8" fillId="2" borderId="49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3" fontId="8" fillId="2" borderId="10" xfId="0" quotePrefix="1" applyNumberFormat="1" applyFont="1" applyFill="1" applyBorder="1" applyAlignment="1">
      <alignment horizontal="center" vertical="center" wrapText="1"/>
    </xf>
    <xf numFmtId="0" fontId="16" fillId="3" borderId="11" xfId="5" quotePrefix="1" applyFont="1" applyFill="1" applyBorder="1" applyAlignment="1">
      <alignment horizontal="center" vertical="center" wrapText="1"/>
    </xf>
    <xf numFmtId="0" fontId="16" fillId="2" borderId="64" xfId="5" quotePrefix="1" applyFill="1" applyBorder="1" applyAlignment="1">
      <alignment horizontal="center" vertical="center" wrapText="1"/>
    </xf>
    <xf numFmtId="0" fontId="16" fillId="2" borderId="24" xfId="5" quotePrefix="1" applyFill="1" applyBorder="1" applyAlignment="1">
      <alignment horizontal="left" vertical="center" wrapText="1"/>
    </xf>
    <xf numFmtId="0" fontId="2" fillId="2" borderId="101" xfId="6" quotePrefix="1" applyFill="1" applyBorder="1" applyAlignment="1">
      <alignment horizontal="center" vertical="center" wrapText="1"/>
    </xf>
    <xf numFmtId="0" fontId="2" fillId="2" borderId="49" xfId="6" quotePrefix="1" applyFill="1" applyBorder="1" applyAlignment="1">
      <alignment horizontal="left" vertical="center" wrapText="1"/>
    </xf>
    <xf numFmtId="0" fontId="16" fillId="2" borderId="101" xfId="7" quotePrefix="1" applyFill="1" applyBorder="1" applyAlignment="1">
      <alignment horizontal="center" vertical="center" wrapText="1"/>
    </xf>
    <xf numFmtId="0" fontId="16" fillId="2" borderId="49" xfId="7" quotePrefix="1" applyFill="1" applyBorder="1" applyAlignment="1">
      <alignment horizontal="left" vertical="center" wrapText="1"/>
    </xf>
    <xf numFmtId="0" fontId="16" fillId="2" borderId="102" xfId="5" quotePrefix="1" applyFill="1" applyBorder="1" applyAlignment="1">
      <alignment horizontal="center" vertical="center" wrapText="1"/>
    </xf>
    <xf numFmtId="0" fontId="16" fillId="2" borderId="103" xfId="5" quotePrefix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2" fillId="2" borderId="0" xfId="0" applyFont="1" applyFill="1"/>
    <xf numFmtId="0" fontId="32" fillId="2" borderId="0" xfId="0" applyFont="1" applyFill="1" applyBorder="1"/>
    <xf numFmtId="0" fontId="6" fillId="2" borderId="0" xfId="0" applyFont="1" applyFill="1"/>
    <xf numFmtId="0" fontId="30" fillId="2" borderId="0" xfId="0" applyFont="1" applyFill="1"/>
    <xf numFmtId="165" fontId="4" fillId="11" borderId="45" xfId="0" applyNumberFormat="1" applyFont="1" applyFill="1" applyBorder="1" applyAlignment="1">
      <alignment horizontal="center"/>
    </xf>
    <xf numFmtId="165" fontId="4" fillId="11" borderId="45" xfId="0" applyNumberFormat="1" applyFont="1" applyFill="1" applyBorder="1" applyAlignment="1">
      <alignment horizontal="center" vertical="center"/>
    </xf>
    <xf numFmtId="3" fontId="4" fillId="11" borderId="1" xfId="0" applyNumberFormat="1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84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7" fillId="3" borderId="66" xfId="0" applyFont="1" applyFill="1" applyBorder="1" applyAlignment="1">
      <alignment horizontal="center" vertical="center" wrapText="1"/>
    </xf>
    <xf numFmtId="0" fontId="17" fillId="3" borderId="80" xfId="0" applyFont="1" applyFill="1" applyBorder="1" applyAlignment="1">
      <alignment horizontal="center" vertical="center" wrapText="1"/>
    </xf>
    <xf numFmtId="0" fontId="17" fillId="3" borderId="58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9" borderId="44" xfId="0" applyFont="1" applyFill="1" applyBorder="1" applyAlignment="1">
      <alignment horizontal="center" vertical="center"/>
    </xf>
    <xf numFmtId="0" fontId="4" fillId="9" borderId="36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4" fillId="3" borderId="82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81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8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84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74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76" xfId="0" applyFont="1" applyFill="1" applyBorder="1" applyAlignment="1">
      <alignment horizontal="center" vertical="center" wrapText="1"/>
    </xf>
    <xf numFmtId="0" fontId="4" fillId="3" borderId="77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left" vertical="center" wrapText="1"/>
    </xf>
    <xf numFmtId="0" fontId="4" fillId="3" borderId="67" xfId="0" applyFont="1" applyFill="1" applyBorder="1" applyAlignment="1">
      <alignment horizontal="center" vertical="center"/>
    </xf>
    <xf numFmtId="14" fontId="4" fillId="3" borderId="82" xfId="0" applyNumberFormat="1" applyFont="1" applyFill="1" applyBorder="1" applyAlignment="1">
      <alignment horizontal="center" vertical="center" wrapText="1"/>
    </xf>
    <xf numFmtId="14" fontId="4" fillId="3" borderId="27" xfId="0" applyNumberFormat="1" applyFont="1" applyFill="1" applyBorder="1" applyAlignment="1">
      <alignment horizontal="center" vertical="center" wrapText="1"/>
    </xf>
    <xf numFmtId="14" fontId="4" fillId="3" borderId="26" xfId="0" applyNumberFormat="1" applyFont="1" applyFill="1" applyBorder="1" applyAlignment="1">
      <alignment horizontal="center" vertical="center" wrapText="1"/>
    </xf>
    <xf numFmtId="0" fontId="4" fillId="3" borderId="9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14" fontId="4" fillId="3" borderId="55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14" fontId="4" fillId="8" borderId="41" xfId="0" applyNumberFormat="1" applyFont="1" applyFill="1" applyBorder="1" applyAlignment="1">
      <alignment horizontal="center" vertical="center" wrapText="1"/>
    </xf>
    <xf numFmtId="14" fontId="4" fillId="8" borderId="43" xfId="0" applyNumberFormat="1" applyFont="1" applyFill="1" applyBorder="1" applyAlignment="1">
      <alignment horizontal="center" vertical="center" wrapText="1"/>
    </xf>
    <xf numFmtId="14" fontId="4" fillId="3" borderId="41" xfId="0" applyNumberFormat="1" applyFont="1" applyFill="1" applyBorder="1" applyAlignment="1">
      <alignment horizontal="center" vertical="center" wrapText="1"/>
    </xf>
    <xf numFmtId="14" fontId="4" fillId="3" borderId="43" xfId="0" applyNumberFormat="1" applyFont="1" applyFill="1" applyBorder="1" applyAlignment="1">
      <alignment horizontal="center" vertical="center" wrapText="1"/>
    </xf>
    <xf numFmtId="0" fontId="4" fillId="8" borderId="44" xfId="0" applyFont="1" applyFill="1" applyBorder="1" applyAlignment="1">
      <alignment horizontal="center" vertical="center"/>
    </xf>
    <xf numFmtId="0" fontId="4" fillId="8" borderId="36" xfId="0" applyFont="1" applyFill="1" applyBorder="1" applyAlignment="1">
      <alignment horizontal="center" vertical="center"/>
    </xf>
    <xf numFmtId="0" fontId="4" fillId="3" borderId="82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82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3" borderId="35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3" borderId="6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71" xfId="0" applyFont="1" applyFill="1" applyBorder="1" applyAlignment="1">
      <alignment horizontal="center" vertical="center" wrapText="1"/>
    </xf>
    <xf numFmtId="0" fontId="4" fillId="3" borderId="72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 wrapText="1"/>
    </xf>
    <xf numFmtId="0" fontId="4" fillId="8" borderId="84" xfId="0" applyFont="1" applyFill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39" xfId="0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2" fontId="8" fillId="3" borderId="44" xfId="0" applyNumberFormat="1" applyFont="1" applyFill="1" applyBorder="1" applyAlignment="1">
      <alignment horizontal="center" vertical="center" wrapText="1"/>
    </xf>
    <xf numFmtId="2" fontId="8" fillId="3" borderId="36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4" fillId="3" borderId="50" xfId="0" applyFont="1" applyFill="1" applyBorder="1"/>
    <xf numFmtId="0" fontId="8" fillId="3" borderId="87" xfId="0" applyFont="1" applyFill="1" applyBorder="1" applyAlignment="1">
      <alignment horizontal="center" vertical="center" wrapText="1"/>
    </xf>
    <xf numFmtId="0" fontId="4" fillId="3" borderId="47" xfId="0" applyFont="1" applyFill="1" applyBorder="1"/>
    <xf numFmtId="0" fontId="8" fillId="3" borderId="41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/>
    <xf numFmtId="0" fontId="8" fillId="3" borderId="64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/>
    <xf numFmtId="0" fontId="4" fillId="2" borderId="0" xfId="0" applyFont="1" applyFill="1" applyBorder="1" applyAlignment="1"/>
    <xf numFmtId="0" fontId="4" fillId="3" borderId="81" xfId="0" applyFont="1" applyFill="1" applyBorder="1" applyAlignment="1">
      <alignment horizontal="center" vertical="center"/>
    </xf>
    <xf numFmtId="0" fontId="4" fillId="3" borderId="84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horizontal="left" vertical="center" wrapText="1"/>
    </xf>
    <xf numFmtId="0" fontId="19" fillId="2" borderId="57" xfId="0" applyFont="1" applyFill="1" applyBorder="1" applyAlignment="1">
      <alignment horizontal="left" vertical="center" wrapText="1"/>
    </xf>
    <xf numFmtId="0" fontId="19" fillId="2" borderId="56" xfId="0" applyFont="1" applyFill="1" applyBorder="1" applyAlignment="1">
      <alignment horizontal="left" vertical="center" wrapText="1"/>
    </xf>
    <xf numFmtId="0" fontId="19" fillId="3" borderId="44" xfId="0" applyFont="1" applyFill="1" applyBorder="1" applyAlignment="1">
      <alignment horizontal="center" vertical="center" wrapText="1"/>
    </xf>
    <xf numFmtId="0" fontId="19" fillId="3" borderId="48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55" xfId="0" applyFont="1" applyFill="1" applyBorder="1" applyAlignment="1">
      <alignment horizontal="center" vertical="center" wrapText="1"/>
    </xf>
    <xf numFmtId="0" fontId="19" fillId="3" borderId="56" xfId="0" applyFont="1" applyFill="1" applyBorder="1" applyAlignment="1">
      <alignment horizontal="center" vertical="center" wrapText="1"/>
    </xf>
    <xf numFmtId="0" fontId="19" fillId="3" borderId="5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165" fontId="4" fillId="11" borderId="10" xfId="0" applyNumberFormat="1" applyFont="1" applyFill="1" applyBorder="1" applyAlignment="1">
      <alignment horizontal="center" vertical="center"/>
    </xf>
    <xf numFmtId="165" fontId="4" fillId="11" borderId="62" xfId="0" applyNumberFormat="1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</cellXfs>
  <cellStyles count="10">
    <cellStyle name="Dziesiętny" xfId="2" builtinId="3"/>
    <cellStyle name="Normalny" xfId="0" builtinId="0"/>
    <cellStyle name="Procentowy" xfId="3" builtinId="5"/>
    <cellStyle name="S0" xfId="9"/>
    <cellStyle name="S10" xfId="6"/>
    <cellStyle name="S11" xfId="7"/>
    <cellStyle name="S14" xfId="4"/>
    <cellStyle name="S5" xfId="8"/>
    <cellStyle name="S6" xfId="1"/>
    <cellStyle name="S8" xfId="5"/>
  </cellStyles>
  <dxfs count="0"/>
  <tableStyles count="0" defaultTableStyle="TableStyleMedium2" defaultPivotStyle="PivotStyleLight16"/>
  <colors>
    <mruColors>
      <color rgb="FFE8ECFE"/>
      <color rgb="FFFFFFCC"/>
      <color rgb="FFD2D9FE"/>
      <color rgb="FFA996C0"/>
      <color rgb="FF9780B2"/>
      <color rgb="FFD8CFE3"/>
      <color rgb="FFB2A0C4"/>
      <color rgb="FFCFC4DA"/>
      <color rgb="FFEAE5EF"/>
      <color rgb="FFC8BB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700" b="0" u="none" dirty="0" smtClean="0">
                <a:latin typeface="Arial" panose="020B0604020202020204" pitchFamily="34" charset="0"/>
                <a:cs typeface="Arial" panose="020B0604020202020204" pitchFamily="34" charset="0"/>
              </a:rPr>
              <a:t>osoby bezrobotne</a:t>
            </a:r>
          </a:p>
          <a:p>
            <a:pPr algn="l"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700" b="0" u="none" dirty="0" smtClean="0">
                <a:latin typeface="Arial" panose="020B0604020202020204" pitchFamily="34" charset="0"/>
                <a:cs typeface="Arial" panose="020B0604020202020204" pitchFamily="34" charset="0"/>
              </a:rPr>
              <a:t>posiadające obywatelstwo</a:t>
            </a:r>
          </a:p>
          <a:p>
            <a:pPr algn="l"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700" b="0" u="none" baseline="0" dirty="0" smtClean="0">
                <a:latin typeface="Arial" panose="020B0604020202020204" pitchFamily="34" charset="0"/>
                <a:cs typeface="Arial" panose="020B0604020202020204" pitchFamily="34" charset="0"/>
              </a:rPr>
              <a:t>ukraińskie</a:t>
            </a:r>
          </a:p>
          <a:p>
            <a:pPr algn="l"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700" b="0" u="none" baseline="0" dirty="0" smtClean="0">
                <a:latin typeface="Arial" panose="020B0604020202020204" pitchFamily="34" charset="0"/>
                <a:cs typeface="Arial" panose="020B0604020202020204" pitchFamily="34" charset="0"/>
              </a:rPr>
              <a:t>w bezrobotnych ogółem</a:t>
            </a:r>
          </a:p>
          <a:p>
            <a:pPr algn="l"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700" b="0" u="none" baseline="0" dirty="0" smtClean="0">
                <a:latin typeface="Arial" panose="020B0604020202020204" pitchFamily="34" charset="0"/>
                <a:cs typeface="Arial" panose="020B0604020202020204" pitchFamily="34" charset="0"/>
              </a:rPr>
              <a:t>wg terenu działania PUP</a:t>
            </a:r>
          </a:p>
          <a:p>
            <a:pPr algn="l"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700" b="0" u="none" baseline="0" dirty="0" smtClean="0">
                <a:latin typeface="Arial" panose="020B0604020202020204" pitchFamily="34" charset="0"/>
                <a:cs typeface="Arial" panose="020B0604020202020204" pitchFamily="34" charset="0"/>
              </a:rPr>
              <a:t>(powiaty łącznie z miastami</a:t>
            </a:r>
          </a:p>
          <a:p>
            <a:pPr algn="l"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700" b="0" u="none" baseline="0" dirty="0" smtClean="0">
                <a:latin typeface="Arial" panose="020B0604020202020204" pitchFamily="34" charset="0"/>
                <a:cs typeface="Arial" panose="020B0604020202020204" pitchFamily="34" charset="0"/>
              </a:rPr>
              <a:t> na prawach powiatów)</a:t>
            </a:r>
          </a:p>
          <a:p>
            <a:pPr algn="l"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700" b="0" u="none" baseline="0" dirty="0" smtClean="0">
                <a:latin typeface="Arial" panose="020B0604020202020204" pitchFamily="34" charset="0"/>
                <a:cs typeface="Arial" panose="020B0604020202020204" pitchFamily="34" charset="0"/>
              </a:rPr>
              <a:t>(w proc.)</a:t>
            </a:r>
            <a:endParaRPr lang="en-US" sz="700" b="0" dirty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64388751406074241"/>
          <c:y val="0.8255258164012115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569221475391621"/>
          <c:y val="4.0571346773435428E-2"/>
          <c:w val="0.68372612448717252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T.II.A!$O$7</c:f>
              <c:strCache>
                <c:ptCount val="1"/>
                <c:pt idx="0">
                  <c:v>najwyższy proc.</c:v>
                </c:pt>
              </c:strCache>
            </c:strRef>
          </c:tx>
          <c:spPr>
            <a:gradFill>
              <a:gsLst>
                <a:gs pos="0">
                  <a:srgbClr val="D6B19C"/>
                </a:gs>
                <a:gs pos="30000">
                  <a:srgbClr val="D49E6C"/>
                </a:gs>
                <a:gs pos="70000">
                  <a:srgbClr val="A65528"/>
                </a:gs>
                <a:gs pos="100000">
                  <a:srgbClr val="663012"/>
                </a:gs>
              </a:gsLst>
              <a:lin ang="10800000" scaled="1"/>
            </a:gra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T.II.A!$O$8:$O$28</c:f>
              <c:strCache>
                <c:ptCount val="21"/>
                <c:pt idx="0">
                  <c:v>p. krośnieński i miasto Krosno</c:v>
                </c:pt>
                <c:pt idx="1">
                  <c:v>stalowowolski</c:v>
                </c:pt>
                <c:pt idx="2">
                  <c:v>p. przemyski i miasto Przemyśl</c:v>
                </c:pt>
                <c:pt idx="3">
                  <c:v>dębicki</c:v>
                </c:pt>
                <c:pt idx="4">
                  <c:v>sanocki</c:v>
                </c:pt>
                <c:pt idx="5">
                  <c:v>p. rzeszowski i miasto Rzeszów</c:v>
                </c:pt>
                <c:pt idx="6">
                  <c:v>leski</c:v>
                </c:pt>
                <c:pt idx="7">
                  <c:v>łańcucki</c:v>
                </c:pt>
                <c:pt idx="8">
                  <c:v>p. tarnobrzeski i miasto Tarnobrzeg</c:v>
                </c:pt>
                <c:pt idx="9">
                  <c:v>mielecki</c:v>
                </c:pt>
                <c:pt idx="10">
                  <c:v>leżajski</c:v>
                </c:pt>
                <c:pt idx="11">
                  <c:v>jasielski</c:v>
                </c:pt>
                <c:pt idx="12">
                  <c:v>bieszczadzki</c:v>
                </c:pt>
                <c:pt idx="13">
                  <c:v>niżański</c:v>
                </c:pt>
                <c:pt idx="14">
                  <c:v>przeworski</c:v>
                </c:pt>
                <c:pt idx="15">
                  <c:v>lubaczowski</c:v>
                </c:pt>
                <c:pt idx="16">
                  <c:v>strzyżowski</c:v>
                </c:pt>
                <c:pt idx="17">
                  <c:v>ropczycko-sędziszowski</c:v>
                </c:pt>
                <c:pt idx="18">
                  <c:v>jarosławski</c:v>
                </c:pt>
                <c:pt idx="19">
                  <c:v>brzozowski</c:v>
                </c:pt>
                <c:pt idx="20">
                  <c:v>kolbuszowski</c:v>
                </c:pt>
              </c:strCache>
            </c:strRef>
          </c:cat>
          <c:val>
            <c:numRef>
              <c:f>T.II.A!$P$8:$P$28</c:f>
              <c:numCache>
                <c:formatCode>0.0</c:formatCode>
                <c:ptCount val="21"/>
                <c:pt idx="0">
                  <c:v>2.8537920250195468</c:v>
                </c:pt>
                <c:pt idx="1">
                  <c:v>2.2073921971252566</c:v>
                </c:pt>
                <c:pt idx="2">
                  <c:v>2.0314432079137958</c:v>
                </c:pt>
                <c:pt idx="3">
                  <c:v>1.921470342522974</c:v>
                </c:pt>
                <c:pt idx="4">
                  <c:v>1.8915510718789406</c:v>
                </c:pt>
                <c:pt idx="5">
                  <c:v>1.8662952646239555</c:v>
                </c:pt>
                <c:pt idx="6">
                  <c:v>1.4743589743589742</c:v>
                </c:pt>
                <c:pt idx="7">
                  <c:v>1.4695591322603219</c:v>
                </c:pt>
                <c:pt idx="8">
                  <c:v>1.4615384615384615</c:v>
                </c:pt>
                <c:pt idx="9">
                  <c:v>1.3888888888888888</c:v>
                </c:pt>
                <c:pt idx="10">
                  <c:v>1.279317697228145</c:v>
                </c:pt>
                <c:pt idx="11">
                  <c:v>1.1320754716981132</c:v>
                </c:pt>
                <c:pt idx="12">
                  <c:v>1.0648596321393997</c:v>
                </c:pt>
                <c:pt idx="13">
                  <c:v>1.0200828817341407</c:v>
                </c:pt>
                <c:pt idx="14">
                  <c:v>0.85763293310463129</c:v>
                </c:pt>
                <c:pt idx="15">
                  <c:v>0.77890952666267221</c:v>
                </c:pt>
                <c:pt idx="16">
                  <c:v>0.77327559542220847</c:v>
                </c:pt>
                <c:pt idx="17">
                  <c:v>0.70611970410221925</c:v>
                </c:pt>
                <c:pt idx="18">
                  <c:v>0.66724063710718895</c:v>
                </c:pt>
                <c:pt idx="19">
                  <c:v>0.51229508196721307</c:v>
                </c:pt>
                <c:pt idx="20">
                  <c:v>0.43183220234423197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6"/>
        <c:axId val="198603904"/>
        <c:axId val="198605440"/>
      </c:barChart>
      <c:catAx>
        <c:axId val="198603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98605440"/>
        <c:crosses val="autoZero"/>
        <c:auto val="1"/>
        <c:lblAlgn val="ctr"/>
        <c:lblOffset val="100"/>
        <c:noMultiLvlLbl val="0"/>
      </c:catAx>
      <c:valAx>
        <c:axId val="19860544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extTo"/>
        <c:crossAx val="198603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 cmpd="dbl"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>
                <a:latin typeface="Arial" panose="020B0604020202020204" pitchFamily="34" charset="0"/>
                <a:cs typeface="Arial" panose="020B0604020202020204" pitchFamily="34" charset="0"/>
              </a:rPr>
              <a:t>wg poszczególnych lat</a:t>
            </a:r>
          </a:p>
        </c:rich>
      </c:tx>
      <c:layout>
        <c:manualLayout>
          <c:xMode val="edge"/>
          <c:yMode val="edge"/>
          <c:x val="0.36125554207894989"/>
          <c:y val="7.65957857440968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9144709558031465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T.XXV!$M$7</c:f>
              <c:strCache>
                <c:ptCount val="1"/>
                <c:pt idx="0">
                  <c:v>zgłoszenia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T.XXV!$L$8:$L$22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T.XXV!$M$8:$M$22</c:f>
              <c:numCache>
                <c:formatCode>#,##0</c:formatCode>
                <c:ptCount val="15"/>
                <c:pt idx="0">
                  <c:v>479</c:v>
                </c:pt>
                <c:pt idx="1">
                  <c:v>4570</c:v>
                </c:pt>
                <c:pt idx="2">
                  <c:v>9176</c:v>
                </c:pt>
                <c:pt idx="3">
                  <c:v>1412</c:v>
                </c:pt>
                <c:pt idx="4">
                  <c:v>2730</c:v>
                </c:pt>
                <c:pt idx="5">
                  <c:v>1273</c:v>
                </c:pt>
                <c:pt idx="6">
                  <c:v>2106</c:v>
                </c:pt>
                <c:pt idx="7">
                  <c:v>1311</c:v>
                </c:pt>
                <c:pt idx="8">
                  <c:v>1204</c:v>
                </c:pt>
                <c:pt idx="9">
                  <c:v>720</c:v>
                </c:pt>
                <c:pt idx="10">
                  <c:v>819</c:v>
                </c:pt>
                <c:pt idx="11">
                  <c:v>587</c:v>
                </c:pt>
                <c:pt idx="12">
                  <c:v>1044</c:v>
                </c:pt>
                <c:pt idx="13">
                  <c:v>4716</c:v>
                </c:pt>
                <c:pt idx="14">
                  <c:v>716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T.XXV!$N$7</c:f>
              <c:strCache>
                <c:ptCount val="1"/>
                <c:pt idx="0">
                  <c:v>zwolnienia</c:v>
                </c:pt>
              </c:strCache>
            </c:strRef>
          </c:tx>
          <c:marker>
            <c:symbol val="none"/>
          </c:marker>
          <c:cat>
            <c:numRef>
              <c:f>T.XXV!$L$8:$L$22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T.XXV!$N$8:$N$22</c:f>
              <c:numCache>
                <c:formatCode>#,##0</c:formatCode>
                <c:ptCount val="15"/>
                <c:pt idx="0">
                  <c:v>437</c:v>
                </c:pt>
                <c:pt idx="1">
                  <c:v>2154</c:v>
                </c:pt>
                <c:pt idx="2">
                  <c:v>6255</c:v>
                </c:pt>
                <c:pt idx="3">
                  <c:v>1120</c:v>
                </c:pt>
                <c:pt idx="4">
                  <c:v>2048</c:v>
                </c:pt>
                <c:pt idx="5">
                  <c:v>1050</c:v>
                </c:pt>
                <c:pt idx="6">
                  <c:v>1235</c:v>
                </c:pt>
                <c:pt idx="7">
                  <c:v>651</c:v>
                </c:pt>
                <c:pt idx="8">
                  <c:v>1108</c:v>
                </c:pt>
                <c:pt idx="9">
                  <c:v>609</c:v>
                </c:pt>
                <c:pt idx="10">
                  <c:v>557</c:v>
                </c:pt>
                <c:pt idx="11">
                  <c:v>530</c:v>
                </c:pt>
                <c:pt idx="12">
                  <c:v>726</c:v>
                </c:pt>
                <c:pt idx="13">
                  <c:v>2746</c:v>
                </c:pt>
                <c:pt idx="14">
                  <c:v>384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43808"/>
        <c:axId val="201145344"/>
      </c:lineChart>
      <c:catAx>
        <c:axId val="201143808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01145344"/>
        <c:crosses val="autoZero"/>
        <c:auto val="1"/>
        <c:lblAlgn val="ctr"/>
        <c:lblOffset val="100"/>
        <c:noMultiLvlLbl val="0"/>
      </c:catAx>
      <c:valAx>
        <c:axId val="201145344"/>
        <c:scaling>
          <c:orientation val="minMax"/>
          <c:max val="10000"/>
          <c:min val="0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rgbClr val="5353FF">
                  <a:alpha val="81961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201143808"/>
        <c:crosses val="autoZero"/>
        <c:crossBetween val="midCat"/>
        <c:majorUnit val="500"/>
        <c:minorUnit val="100"/>
      </c:valAx>
      <c:spPr>
        <a:noFill/>
      </c:spPr>
    </c:plotArea>
    <c:legend>
      <c:legendPos val="t"/>
      <c:layout>
        <c:manualLayout>
          <c:xMode val="edge"/>
          <c:yMode val="edge"/>
          <c:x val="0.2644745879151375"/>
          <c:y val="0.21305489726514848"/>
          <c:w val="0.66345844908285179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41823089152962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T.XXVI!$B$5</c:f>
              <c:strCache>
                <c:ptCount val="1"/>
                <c:pt idx="0">
                  <c:v>Polska 1</c:v>
                </c:pt>
              </c:strCache>
            </c:strRef>
          </c:tx>
          <c:spPr>
            <a:ln w="825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T.XXVI!$C$4:$S$4</c:f>
              <c:strCache>
                <c:ptCount val="17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</c:strCache>
            </c:strRef>
          </c:cat>
          <c:val>
            <c:numRef>
              <c:f>T.XXVI!$C$5:$S$5</c:f>
              <c:numCache>
                <c:formatCode>General</c:formatCode>
                <c:ptCount val="17"/>
                <c:pt idx="0">
                  <c:v>45.9</c:v>
                </c:pt>
                <c:pt idx="1">
                  <c:v>47.5</c:v>
                </c:pt>
                <c:pt idx="2">
                  <c:v>49.5</c:v>
                </c:pt>
                <c:pt idx="3" formatCode="0.0">
                  <c:v>51</c:v>
                </c:pt>
                <c:pt idx="4">
                  <c:v>50.4</c:v>
                </c:pt>
                <c:pt idx="5">
                  <c:v>50.2</c:v>
                </c:pt>
                <c:pt idx="6">
                  <c:v>50.3</c:v>
                </c:pt>
                <c:pt idx="7">
                  <c:v>50.4</c:v>
                </c:pt>
                <c:pt idx="8">
                  <c:v>50.6</c:v>
                </c:pt>
                <c:pt idx="9">
                  <c:v>51.7</c:v>
                </c:pt>
                <c:pt idx="10" formatCode="0.0">
                  <c:v>52.6</c:v>
                </c:pt>
                <c:pt idx="11" formatCode="0.0">
                  <c:v>53.2</c:v>
                </c:pt>
                <c:pt idx="12" formatCode="0.0">
                  <c:v>53.7</c:v>
                </c:pt>
                <c:pt idx="13" formatCode="0.0">
                  <c:v>54</c:v>
                </c:pt>
                <c:pt idx="14" formatCode="0.0">
                  <c:v>54.4</c:v>
                </c:pt>
                <c:pt idx="15" formatCode="0.0">
                  <c:v>54.7</c:v>
                </c:pt>
                <c:pt idx="16" formatCode="0.0">
                  <c:v>56.3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T.XXVI!$B$6</c:f>
              <c:strCache>
                <c:ptCount val="1"/>
                <c:pt idx="0">
                  <c:v>województwo podkarpackie</c:v>
                </c:pt>
              </c:strCache>
            </c:strRef>
          </c:tx>
          <c:spPr>
            <a:ln>
              <a:solidFill>
                <a:srgbClr val="8068A8">
                  <a:alpha val="91000"/>
                </a:srgbClr>
              </a:solidFill>
            </a:ln>
          </c:spPr>
          <c:marker>
            <c:symbol val="none"/>
          </c:marker>
          <c:cat>
            <c:strRef>
              <c:f>T.XXVI!$C$4:$S$4</c:f>
              <c:strCache>
                <c:ptCount val="17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</c:strCache>
            </c:strRef>
          </c:cat>
          <c:val>
            <c:numRef>
              <c:f>T.XXVI!$C$6:$S$6</c:f>
              <c:numCache>
                <c:formatCode>0.0</c:formatCode>
                <c:ptCount val="17"/>
                <c:pt idx="0" formatCode="General">
                  <c:v>44.9</c:v>
                </c:pt>
                <c:pt idx="1">
                  <c:v>47</c:v>
                </c:pt>
                <c:pt idx="2">
                  <c:v>51</c:v>
                </c:pt>
                <c:pt idx="3" formatCode="General">
                  <c:v>51.8</c:v>
                </c:pt>
                <c:pt idx="4" formatCode="General">
                  <c:v>50.2</c:v>
                </c:pt>
                <c:pt idx="5" formatCode="General">
                  <c:v>49.8</c:v>
                </c:pt>
                <c:pt idx="6" formatCode="General">
                  <c:v>49.3</c:v>
                </c:pt>
                <c:pt idx="7" formatCode="General">
                  <c:v>48.6</c:v>
                </c:pt>
                <c:pt idx="8" formatCode="General">
                  <c:v>48.1</c:v>
                </c:pt>
                <c:pt idx="9" formatCode="General">
                  <c:v>46.7</c:v>
                </c:pt>
                <c:pt idx="10">
                  <c:v>48</c:v>
                </c:pt>
                <c:pt idx="11">
                  <c:v>50.9</c:v>
                </c:pt>
                <c:pt idx="12">
                  <c:v>52.6</c:v>
                </c:pt>
                <c:pt idx="13">
                  <c:v>52.2</c:v>
                </c:pt>
                <c:pt idx="14">
                  <c:v>51.9</c:v>
                </c:pt>
                <c:pt idx="15">
                  <c:v>51.1</c:v>
                </c:pt>
                <c:pt idx="16">
                  <c:v>51.6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236864"/>
        <c:axId val="201238400"/>
      </c:lineChart>
      <c:catAx>
        <c:axId val="201236864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01238400"/>
        <c:crosses val="autoZero"/>
        <c:auto val="1"/>
        <c:lblAlgn val="ctr"/>
        <c:lblOffset val="100"/>
        <c:noMultiLvlLbl val="0"/>
      </c:catAx>
      <c:valAx>
        <c:axId val="201238400"/>
        <c:scaling>
          <c:orientation val="minMax"/>
          <c:max val="57"/>
          <c:min val="44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201236864"/>
        <c:crosses val="autoZero"/>
        <c:crossBetween val="midCat"/>
        <c:majorUnit val="0.75000000000000011"/>
        <c:minorUnit val="0.2"/>
      </c:valAx>
      <c:spPr>
        <a:noFill/>
      </c:spPr>
    </c:plotArea>
    <c:legend>
      <c:legendPos val="t"/>
      <c:layout>
        <c:manualLayout>
          <c:xMode val="edge"/>
          <c:yMode val="edge"/>
          <c:x val="8.6279088643602425E-2"/>
          <c:y val="4.9070743925712937E-2"/>
          <c:w val="0.66345844908285179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1" dirty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Wskaźnik zatrudnienia wg wykształcenia</a:t>
            </a:r>
          </a:p>
          <a:p>
            <a:pPr algn="ctr"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1" dirty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województwo podkarpackie</a:t>
            </a:r>
            <a:endParaRPr lang="en-US" sz="12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265212971577801"/>
          <c:y val="3.6136706315965821E-3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4">
            <a:lumMod val="20000"/>
            <a:lumOff val="80000"/>
            <a:alpha val="19000"/>
          </a:schemeClr>
        </a:solidFill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9.2028447451745037E-3"/>
          <c:y val="9.5606299212598431E-2"/>
          <c:w val="0.98558863662706964"/>
          <c:h val="0.77139822415815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T.XXVI!$S$4</c:f>
              <c:strCache>
                <c:ptCount val="1"/>
                <c:pt idx="0">
                  <c:v>21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  <a:alpha val="92000"/>
              </a:schemeClr>
            </a:solidFill>
            <a:ln w="3175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-1.0957475483189268E-2"/>
                  <c:y val="7.5627408276093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0775367575807753E-2"/>
                  <c:y val="7.5506785056123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558240002257321E-3"/>
                  <c:y val="6.2088121963477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024044926633345E-3"/>
                  <c:y val="7.4022449321494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78937113554181E-3"/>
                  <c:y val="6.412162841346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857269123214075E-2"/>
                  <c:y val="-2.3311249030425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T.XXVI!$T$20:$T$24</c:f>
              <c:strCache>
                <c:ptCount val="5"/>
                <c:pt idx="0">
                  <c:v>wyższe</c:v>
                </c:pt>
                <c:pt idx="1">
                  <c:v>polic. i śr. zaw.</c:v>
                </c:pt>
                <c:pt idx="2">
                  <c:v>śr. ogólnokszt.</c:v>
                </c:pt>
                <c:pt idx="3">
                  <c:v>zas. zaw.</c:v>
                </c:pt>
                <c:pt idx="4">
                  <c:v>gimn., podst. i niep. podst.</c:v>
                </c:pt>
              </c:strCache>
            </c:strRef>
          </c:cat>
          <c:val>
            <c:numRef>
              <c:f>T.XXVI!$S$14:$S$18</c:f>
              <c:numCache>
                <c:formatCode>0.0</c:formatCode>
                <c:ptCount val="5"/>
                <c:pt idx="0" formatCode="General">
                  <c:v>78.5</c:v>
                </c:pt>
                <c:pt idx="1">
                  <c:v>59.8</c:v>
                </c:pt>
                <c:pt idx="2" formatCode="General">
                  <c:v>43.2</c:v>
                </c:pt>
                <c:pt idx="3">
                  <c:v>49.2</c:v>
                </c:pt>
                <c:pt idx="4">
                  <c:v>12</c:v>
                </c:pt>
              </c:numCache>
            </c:numRef>
          </c:val>
        </c:ser>
        <c:ser>
          <c:idx val="1"/>
          <c:order val="1"/>
          <c:tx>
            <c:strRef>
              <c:f>T.XXVI!$C$4</c:f>
              <c:strCache>
                <c:ptCount val="1"/>
                <c:pt idx="0">
                  <c:v>05</c:v>
                </c:pt>
              </c:strCache>
            </c:strRef>
          </c:tx>
          <c:spPr>
            <a:solidFill>
              <a:srgbClr val="D2D9FE">
                <a:alpha val="91000"/>
              </a:srgbClr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1887916336244871E-2"/>
                  <c:y val="6.7622246792591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143790621572714E-3"/>
                  <c:y val="5.9016250628245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9614347058688124E-3"/>
                  <c:y val="7.0650695258837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02534585651605E-3"/>
                  <c:y val="6.3670296532082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957043324974809E-3"/>
                  <c:y val="5.864969006533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792888572848025E-3"/>
                  <c:y val="-2.77099272450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T.XXVI!$T$20:$T$24</c:f>
              <c:strCache>
                <c:ptCount val="5"/>
                <c:pt idx="0">
                  <c:v>wyższe</c:v>
                </c:pt>
                <c:pt idx="1">
                  <c:v>polic. i śr. zaw.</c:v>
                </c:pt>
                <c:pt idx="2">
                  <c:v>śr. ogólnokszt.</c:v>
                </c:pt>
                <c:pt idx="3">
                  <c:v>zas. zaw.</c:v>
                </c:pt>
                <c:pt idx="4">
                  <c:v>gimn., podst. i niep. podst.</c:v>
                </c:pt>
              </c:strCache>
            </c:strRef>
          </c:cat>
          <c:val>
            <c:numRef>
              <c:f>T.XXVI!$C$14:$C$18</c:f>
              <c:numCache>
                <c:formatCode>General</c:formatCode>
                <c:ptCount val="5"/>
                <c:pt idx="0">
                  <c:v>69.8</c:v>
                </c:pt>
                <c:pt idx="1">
                  <c:v>56.1</c:v>
                </c:pt>
                <c:pt idx="2">
                  <c:v>38.1</c:v>
                </c:pt>
                <c:pt idx="3">
                  <c:v>57.4</c:v>
                </c:pt>
                <c:pt idx="4">
                  <c:v>19.7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4"/>
        <c:shape val="box"/>
        <c:axId val="201272704"/>
        <c:axId val="201278976"/>
        <c:axId val="0"/>
      </c:bar3DChart>
      <c:catAx>
        <c:axId val="20127270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 sz="800" b="0">
                    <a:latin typeface="Arial" panose="020B0604020202020204" pitchFamily="34" charset="0"/>
                    <a:cs typeface="Arial" panose="020B0604020202020204" pitchFamily="34" charset="0"/>
                  </a:rPr>
                  <a:t>poziomy wykształcenia</a:t>
                </a:r>
              </a:p>
            </c:rich>
          </c:tx>
          <c:layout>
            <c:manualLayout>
              <c:xMode val="edge"/>
              <c:yMode val="edge"/>
              <c:x val="0.29938985497453457"/>
              <c:y val="0.8798683196515328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1278976"/>
        <c:crosses val="autoZero"/>
        <c:auto val="1"/>
        <c:lblAlgn val="ctr"/>
        <c:lblOffset val="100"/>
        <c:noMultiLvlLbl val="0"/>
      </c:catAx>
      <c:valAx>
        <c:axId val="201278976"/>
        <c:scaling>
          <c:orientation val="minMax"/>
        </c:scaling>
        <c:delete val="0"/>
        <c:axPos val="r"/>
        <c:majorGridlines>
          <c:spPr>
            <a:ln w="3175">
              <a:solidFill>
                <a:srgbClr val="F0ECF4"/>
              </a:solidFill>
            </a:ln>
          </c:spPr>
        </c:majorGridlines>
        <c:minorGridlines>
          <c:spPr>
            <a:ln w="3175">
              <a:solidFill>
                <a:srgbClr val="D2D9FE"/>
              </a:solidFill>
            </a:ln>
          </c:spPr>
        </c:min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pl-PL" sz="800" b="0">
                    <a:latin typeface="Arial" panose="020B0604020202020204" pitchFamily="34" charset="0"/>
                    <a:cs typeface="Arial" panose="020B0604020202020204" pitchFamily="34" charset="0"/>
                  </a:rPr>
                  <a:t>w proc.</a:t>
                </a:r>
              </a:p>
            </c:rich>
          </c:tx>
          <c:layout>
            <c:manualLayout>
              <c:xMode val="edge"/>
              <c:yMode val="edge"/>
              <c:x val="0.85963211603819323"/>
              <c:y val="8.336471770815881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E8ECFE"/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1272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1376297681271"/>
          <c:y val="0.14654045903836488"/>
          <c:w val="0.13893705746910101"/>
          <c:h val="0.10321896465069526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3175" cmpd="dbl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700" b="0" u="none" dirty="0" smtClean="0">
                <a:latin typeface="Arial" panose="020B0604020202020204" pitchFamily="34" charset="0"/>
                <a:cs typeface="Arial" panose="020B0604020202020204" pitchFamily="34" charset="0"/>
              </a:rPr>
              <a:t>osoby bezrobotne</a:t>
            </a:r>
          </a:p>
          <a:p>
            <a:pPr algn="l"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700" b="0" u="none" dirty="0" smtClean="0">
                <a:latin typeface="Arial" panose="020B0604020202020204" pitchFamily="34" charset="0"/>
                <a:cs typeface="Arial" panose="020B0604020202020204" pitchFamily="34" charset="0"/>
              </a:rPr>
              <a:t>posiadające obywatelstwo</a:t>
            </a:r>
          </a:p>
          <a:p>
            <a:pPr algn="l"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700" b="0" u="none" baseline="0" dirty="0" smtClean="0">
                <a:latin typeface="Arial" panose="020B0604020202020204" pitchFamily="34" charset="0"/>
                <a:cs typeface="Arial" panose="020B0604020202020204" pitchFamily="34" charset="0"/>
              </a:rPr>
              <a:t>ukraińskie</a:t>
            </a:r>
          </a:p>
          <a:p>
            <a:pPr algn="l"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700" b="0" u="none" baseline="0" dirty="0" smtClean="0">
                <a:latin typeface="Arial" panose="020B0604020202020204" pitchFamily="34" charset="0"/>
                <a:cs typeface="Arial" panose="020B0604020202020204" pitchFamily="34" charset="0"/>
              </a:rPr>
              <a:t>w bezrobotnych ogółem</a:t>
            </a:r>
          </a:p>
          <a:p>
            <a:pPr algn="l"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700" b="0" u="none" baseline="0" dirty="0" smtClean="0">
                <a:latin typeface="Arial" panose="020B0604020202020204" pitchFamily="34" charset="0"/>
                <a:cs typeface="Arial" panose="020B0604020202020204" pitchFamily="34" charset="0"/>
              </a:rPr>
              <a:t>wg terenu działania PUP</a:t>
            </a:r>
          </a:p>
          <a:p>
            <a:pPr algn="l"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700" b="0" u="none" baseline="0" dirty="0" smtClean="0">
                <a:latin typeface="Arial" panose="020B0604020202020204" pitchFamily="34" charset="0"/>
                <a:cs typeface="Arial" panose="020B0604020202020204" pitchFamily="34" charset="0"/>
              </a:rPr>
              <a:t>(powiaty łącznie z miastami</a:t>
            </a:r>
          </a:p>
          <a:p>
            <a:pPr algn="l"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700" b="0" u="none" baseline="0" dirty="0" smtClean="0">
                <a:latin typeface="Arial" panose="020B0604020202020204" pitchFamily="34" charset="0"/>
                <a:cs typeface="Arial" panose="020B0604020202020204" pitchFamily="34" charset="0"/>
              </a:rPr>
              <a:t> na prawach powiatów)</a:t>
            </a:r>
          </a:p>
          <a:p>
            <a:pPr algn="l"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700" b="0" u="none" baseline="0" dirty="0" smtClean="0">
                <a:latin typeface="Arial" panose="020B0604020202020204" pitchFamily="34" charset="0"/>
                <a:cs typeface="Arial" panose="020B0604020202020204" pitchFamily="34" charset="0"/>
              </a:rPr>
              <a:t>(w proc.)</a:t>
            </a:r>
            <a:endParaRPr lang="en-US" sz="700" b="0" dirty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60460179977502815"/>
          <c:y val="4.63787806663105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569221475391621"/>
          <c:y val="4.0571346773435428E-2"/>
          <c:w val="0.68372612448717252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T.II.A!$Q$7</c:f>
              <c:strCache>
                <c:ptCount val="1"/>
                <c:pt idx="0">
                  <c:v>najniższy proc.</c:v>
                </c:pt>
              </c:strCache>
            </c:strRef>
          </c:tx>
          <c:spPr>
            <a:gradFill>
              <a:gsLst>
                <a:gs pos="0">
                  <a:srgbClr val="D6B19C"/>
                </a:gs>
                <a:gs pos="30000">
                  <a:srgbClr val="D49E6C"/>
                </a:gs>
                <a:gs pos="70000">
                  <a:srgbClr val="A65528"/>
                </a:gs>
                <a:gs pos="100000">
                  <a:srgbClr val="663012"/>
                </a:gs>
              </a:gsLst>
              <a:lin ang="10800000" scaled="1"/>
            </a:gra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T.II.A!$Q$8:$Q$28</c:f>
              <c:strCache>
                <c:ptCount val="21"/>
                <c:pt idx="0">
                  <c:v>kolbuszowski</c:v>
                </c:pt>
                <c:pt idx="1">
                  <c:v>brzozowski</c:v>
                </c:pt>
                <c:pt idx="2">
                  <c:v>jarosławski</c:v>
                </c:pt>
                <c:pt idx="3">
                  <c:v>ropczycko-sędziszowski</c:v>
                </c:pt>
                <c:pt idx="4">
                  <c:v>strzyżowski</c:v>
                </c:pt>
                <c:pt idx="5">
                  <c:v>lubaczowski</c:v>
                </c:pt>
                <c:pt idx="6">
                  <c:v>przeworski</c:v>
                </c:pt>
                <c:pt idx="7">
                  <c:v>niżański</c:v>
                </c:pt>
                <c:pt idx="8">
                  <c:v>bieszczadzki</c:v>
                </c:pt>
                <c:pt idx="9">
                  <c:v>jasielski</c:v>
                </c:pt>
                <c:pt idx="10">
                  <c:v>leżajski</c:v>
                </c:pt>
                <c:pt idx="11">
                  <c:v>mielecki</c:v>
                </c:pt>
                <c:pt idx="12">
                  <c:v>p. tarnobrzeski i miasto Tarnobrzeg</c:v>
                </c:pt>
                <c:pt idx="13">
                  <c:v>łańcucki</c:v>
                </c:pt>
                <c:pt idx="14">
                  <c:v>leski</c:v>
                </c:pt>
                <c:pt idx="15">
                  <c:v>p. rzeszowski i miasto Rzeszów</c:v>
                </c:pt>
                <c:pt idx="16">
                  <c:v>sanocki</c:v>
                </c:pt>
                <c:pt idx="17">
                  <c:v>dębicki</c:v>
                </c:pt>
                <c:pt idx="18">
                  <c:v>p. przemyski i miasto Przemyśl</c:v>
                </c:pt>
                <c:pt idx="19">
                  <c:v>stalowowolski</c:v>
                </c:pt>
                <c:pt idx="20">
                  <c:v>p. krośnieński i miasto Krosno</c:v>
                </c:pt>
              </c:strCache>
            </c:strRef>
          </c:cat>
          <c:val>
            <c:numRef>
              <c:f>T.II.A!$R$8:$R$28</c:f>
              <c:numCache>
                <c:formatCode>0.0</c:formatCode>
                <c:ptCount val="21"/>
                <c:pt idx="0">
                  <c:v>0.43183220234423197</c:v>
                </c:pt>
                <c:pt idx="1">
                  <c:v>0.51229508196721307</c:v>
                </c:pt>
                <c:pt idx="2">
                  <c:v>0.66724063710718895</c:v>
                </c:pt>
                <c:pt idx="3">
                  <c:v>0.70611970410221925</c:v>
                </c:pt>
                <c:pt idx="4">
                  <c:v>0.77327559542220847</c:v>
                </c:pt>
                <c:pt idx="5">
                  <c:v>0.77890952666267221</c:v>
                </c:pt>
                <c:pt idx="6">
                  <c:v>0.85763293310463129</c:v>
                </c:pt>
                <c:pt idx="7">
                  <c:v>1.0200828817341407</c:v>
                </c:pt>
                <c:pt idx="8">
                  <c:v>1.0648596321393997</c:v>
                </c:pt>
                <c:pt idx="9">
                  <c:v>1.1320754716981132</c:v>
                </c:pt>
                <c:pt idx="10">
                  <c:v>1.279317697228145</c:v>
                </c:pt>
                <c:pt idx="11">
                  <c:v>1.3888888888888888</c:v>
                </c:pt>
                <c:pt idx="12">
                  <c:v>1.4615384615384615</c:v>
                </c:pt>
                <c:pt idx="13">
                  <c:v>1.4695591322603219</c:v>
                </c:pt>
                <c:pt idx="14">
                  <c:v>1.4743589743589742</c:v>
                </c:pt>
                <c:pt idx="15">
                  <c:v>1.8662952646239555</c:v>
                </c:pt>
                <c:pt idx="16">
                  <c:v>1.8915510718789406</c:v>
                </c:pt>
                <c:pt idx="17">
                  <c:v>1.921470342522974</c:v>
                </c:pt>
                <c:pt idx="18">
                  <c:v>2.0314432079137958</c:v>
                </c:pt>
                <c:pt idx="19">
                  <c:v>2.2073921971252566</c:v>
                </c:pt>
                <c:pt idx="20">
                  <c:v>2.8537920250195468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6"/>
        <c:axId val="198790144"/>
        <c:axId val="198800128"/>
      </c:barChart>
      <c:catAx>
        <c:axId val="198790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98800128"/>
        <c:crosses val="autoZero"/>
        <c:auto val="1"/>
        <c:lblAlgn val="ctr"/>
        <c:lblOffset val="100"/>
        <c:noMultiLvlLbl val="0"/>
      </c:catAx>
      <c:valAx>
        <c:axId val="198800128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extTo"/>
        <c:crossAx val="198790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 cmpd="dbl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57231553627598"/>
          <c:y val="3.8885303271517291E-2"/>
          <c:w val="0.87742768446372388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T.VIII!$K$11</c:f>
              <c:strCache>
                <c:ptCount val="1"/>
              </c:strCache>
            </c:strRef>
          </c:tx>
          <c:spPr>
            <a:gradFill>
              <a:gsLst>
                <a:gs pos="62000">
                  <a:srgbClr val="7030A0">
                    <a:alpha val="87000"/>
                    <a:lumMod val="88000"/>
                  </a:srgbClr>
                </a:gs>
                <a:gs pos="0">
                  <a:srgbClr val="7B31A9">
                    <a:alpha val="73725"/>
                    <a:lumMod val="49000"/>
                  </a:srgbClr>
                </a:gs>
                <a:gs pos="100000">
                  <a:srgbClr val="B8A2F0">
                    <a:alpha val="66667"/>
                  </a:srgb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2"/>
            <c:invertIfNegative val="0"/>
            <c:bubble3D val="0"/>
          </c:dPt>
          <c:dLbls>
            <c:txPr>
              <a:bodyPr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T.VIII!$K$12:$K$36</c:f>
              <c:strCache>
                <c:ptCount val="25"/>
                <c:pt idx="0">
                  <c:v>Krosno</c:v>
                </c:pt>
                <c:pt idx="1">
                  <c:v>mielecki</c:v>
                </c:pt>
                <c:pt idx="2">
                  <c:v>Rzeszów</c:v>
                </c:pt>
                <c:pt idx="3">
                  <c:v>krośnieński</c:v>
                </c:pt>
                <c:pt idx="4">
                  <c:v>Przemyśl</c:v>
                </c:pt>
                <c:pt idx="5">
                  <c:v>ropczycko-sędziszowski</c:v>
                </c:pt>
                <c:pt idx="6">
                  <c:v>rzeszowski</c:v>
                </c:pt>
                <c:pt idx="7">
                  <c:v>jarosławski</c:v>
                </c:pt>
                <c:pt idx="8">
                  <c:v>przemyski</c:v>
                </c:pt>
                <c:pt idx="9">
                  <c:v>leżajski</c:v>
                </c:pt>
                <c:pt idx="10">
                  <c:v>stalowowolski</c:v>
                </c:pt>
                <c:pt idx="11">
                  <c:v>przeworski</c:v>
                </c:pt>
                <c:pt idx="12">
                  <c:v>tarnobrzeski</c:v>
                </c:pt>
                <c:pt idx="13">
                  <c:v>dębicki</c:v>
                </c:pt>
                <c:pt idx="14">
                  <c:v>strzyżowski</c:v>
                </c:pt>
                <c:pt idx="15">
                  <c:v>lubaczowski</c:v>
                </c:pt>
                <c:pt idx="16">
                  <c:v>jasielski</c:v>
                </c:pt>
                <c:pt idx="17">
                  <c:v>łańcucki</c:v>
                </c:pt>
                <c:pt idx="18">
                  <c:v>brzozowski</c:v>
                </c:pt>
                <c:pt idx="19">
                  <c:v>kolbuszowski</c:v>
                </c:pt>
                <c:pt idx="20">
                  <c:v>niżański</c:v>
                </c:pt>
                <c:pt idx="21">
                  <c:v>leski</c:v>
                </c:pt>
                <c:pt idx="22">
                  <c:v>sanocki</c:v>
                </c:pt>
                <c:pt idx="23">
                  <c:v>Tarnobrzeg</c:v>
                </c:pt>
                <c:pt idx="24">
                  <c:v>bieszczadzki</c:v>
                </c:pt>
              </c:strCache>
            </c:strRef>
          </c:cat>
          <c:val>
            <c:numRef>
              <c:f>T.VIII!$L$12:$L$36</c:f>
              <c:numCache>
                <c:formatCode>0.0</c:formatCode>
                <c:ptCount val="25"/>
                <c:pt idx="0">
                  <c:v>-32.307692307692307</c:v>
                </c:pt>
                <c:pt idx="1">
                  <c:v>-27.977315689981097</c:v>
                </c:pt>
                <c:pt idx="2">
                  <c:v>-26.322930800542739</c:v>
                </c:pt>
                <c:pt idx="3">
                  <c:v>-24.848484848484848</c:v>
                </c:pt>
                <c:pt idx="4">
                  <c:v>-20.833333333333332</c:v>
                </c:pt>
                <c:pt idx="5">
                  <c:v>-20.444444444444443</c:v>
                </c:pt>
                <c:pt idx="6">
                  <c:v>-16.615384615384617</c:v>
                </c:pt>
                <c:pt idx="7">
                  <c:v>-15.843857634902411</c:v>
                </c:pt>
                <c:pt idx="8">
                  <c:v>-15.428571428571429</c:v>
                </c:pt>
                <c:pt idx="9">
                  <c:v>-13.309352517985612</c:v>
                </c:pt>
                <c:pt idx="10">
                  <c:v>-13.119533527696793</c:v>
                </c:pt>
                <c:pt idx="11">
                  <c:v>-11.908931698774081</c:v>
                </c:pt>
                <c:pt idx="12">
                  <c:v>-11.702127659574469</c:v>
                </c:pt>
                <c:pt idx="13">
                  <c:v>-11.450381679389313</c:v>
                </c:pt>
                <c:pt idx="14">
                  <c:v>-10.606060606060606</c:v>
                </c:pt>
                <c:pt idx="15">
                  <c:v>-10.344827586206897</c:v>
                </c:pt>
                <c:pt idx="16">
                  <c:v>-9.1743119266055047</c:v>
                </c:pt>
                <c:pt idx="17">
                  <c:v>-9.0614886731391593</c:v>
                </c:pt>
                <c:pt idx="18">
                  <c:v>-6.2130177514792901</c:v>
                </c:pt>
                <c:pt idx="19">
                  <c:v>-2.4691358024691357</c:v>
                </c:pt>
                <c:pt idx="20">
                  <c:v>-1.0309278350515463</c:v>
                </c:pt>
                <c:pt idx="21">
                  <c:v>-0.89686098654708524</c:v>
                </c:pt>
                <c:pt idx="22">
                  <c:v>3.1141868512110729</c:v>
                </c:pt>
                <c:pt idx="23">
                  <c:v>7.1038251366120218</c:v>
                </c:pt>
                <c:pt idx="24">
                  <c:v>8.5106382978723403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199831552"/>
        <c:axId val="199834240"/>
      </c:barChart>
      <c:catAx>
        <c:axId val="19983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99834240"/>
        <c:crosses val="autoZero"/>
        <c:auto val="1"/>
        <c:lblAlgn val="ctr"/>
        <c:lblOffset val="100"/>
        <c:noMultiLvlLbl val="0"/>
      </c:catAx>
      <c:valAx>
        <c:axId val="19983424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9983155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>
        <c:manualLayout>
          <c:xMode val="edge"/>
          <c:yMode val="edge"/>
          <c:x val="7.7198843815409132E-2"/>
          <c:y val="2.6936015020594405E-2"/>
        </c:manualLayout>
      </c:layout>
      <c:overlay val="1"/>
      <c:txPr>
        <a:bodyPr/>
        <a:lstStyle/>
        <a:p>
          <a:pPr>
            <a:defRPr sz="1000" b="0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50"/>
      <c:rotY val="70"/>
      <c:depthPercent val="21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519405252008473E-2"/>
          <c:y val="7.0328204579701206E-3"/>
          <c:w val="0.98448062319612184"/>
          <c:h val="0.97724464129483812"/>
        </c:manualLayout>
      </c:layout>
      <c:pie3DChart>
        <c:varyColors val="1"/>
        <c:ser>
          <c:idx val="0"/>
          <c:order val="0"/>
          <c:tx>
            <c:strRef>
              <c:f>T.XIV!$P$10</c:f>
              <c:strCache>
                <c:ptCount val="1"/>
                <c:pt idx="0">
                  <c:v>30 VI 2022 r.</c:v>
                </c:pt>
              </c:strCache>
            </c:strRef>
          </c:tx>
          <c:spPr>
            <a:ln w="3175">
              <a:noFill/>
            </a:ln>
            <a:scene3d>
              <a:camera prst="orthographicFront"/>
              <a:lightRig rig="threePt" dir="t">
                <a:rot lat="0" lon="0" rev="1200000"/>
              </a:lightRig>
            </a:scene3d>
            <a:sp3d>
              <a:bevelT h="25400"/>
            </a:sp3d>
          </c:spPr>
          <c:explosion val="4"/>
          <c:dPt>
            <c:idx val="0"/>
            <c:bubble3D val="0"/>
            <c:spPr>
              <a:gradFill>
                <a:gsLst>
                  <a:gs pos="0">
                    <a:srgbClr val="00FF00"/>
                  </a:gs>
                  <a:gs pos="96250">
                    <a:srgbClr val="00FF00"/>
                  </a:gs>
                  <a:gs pos="50000">
                    <a:srgbClr val="00FF00"/>
                  </a:gs>
                  <a:gs pos="100000">
                    <a:srgbClr val="92D050">
                      <a:lumMod val="74000"/>
                      <a:lumOff val="26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</c:dPt>
          <c:dPt>
            <c:idx val="1"/>
            <c:bubble3D val="0"/>
            <c:spPr>
              <a:gradFill>
                <a:gsLst>
                  <a:gs pos="0">
                    <a:srgbClr val="FFC000">
                      <a:lumMod val="96000"/>
                      <a:lumOff val="4000"/>
                    </a:srgbClr>
                  </a:gs>
                  <a:gs pos="69000">
                    <a:srgbClr val="FFB64E"/>
                  </a:gs>
                  <a:gs pos="19000">
                    <a:srgbClr val="FFCC99">
                      <a:lumMod val="86000"/>
                    </a:srgbClr>
                  </a:gs>
                  <a:gs pos="98000">
                    <a:srgbClr val="FFC000">
                      <a:lumMod val="87000"/>
                      <a:lumOff val="13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</c:dPt>
          <c:dPt>
            <c:idx val="2"/>
            <c:bubble3D val="0"/>
            <c:spPr>
              <a:gradFill>
                <a:gsLst>
                  <a:gs pos="0">
                    <a:srgbClr val="934195">
                      <a:lumMod val="67000"/>
                      <a:lumOff val="33000"/>
                    </a:srgbClr>
                  </a:gs>
                  <a:gs pos="50000">
                    <a:srgbClr val="BC96C6">
                      <a:lumMod val="71000"/>
                      <a:lumOff val="29000"/>
                    </a:srgbClr>
                  </a:gs>
                  <a:gs pos="100000">
                    <a:srgbClr val="AF85D1">
                      <a:lumMod val="48000"/>
                      <a:lumOff val="52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</c:dPt>
          <c:dPt>
            <c:idx val="3"/>
            <c:bubble3D val="0"/>
            <c:spPr>
              <a:gradFill>
                <a:gsLst>
                  <a:gs pos="0">
                    <a:srgbClr val="FF9999">
                      <a:lumMod val="89000"/>
                    </a:srgbClr>
                  </a:gs>
                  <a:gs pos="50000">
                    <a:srgbClr val="FF9999">
                      <a:lumMod val="96000"/>
                      <a:lumOff val="4000"/>
                    </a:srgbClr>
                  </a:gs>
                  <a:gs pos="100000">
                    <a:srgbClr val="FF99CC">
                      <a:lumMod val="99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</c:dPt>
          <c:dLbls>
            <c:dLbl>
              <c:idx val="0"/>
              <c:layout>
                <c:manualLayout>
                  <c:x val="-0.18170756503538324"/>
                  <c:y val="-0.16385620336783746"/>
                </c:manualLayout>
              </c:layout>
              <c:tx>
                <c:rich>
                  <a:bodyPr/>
                  <a:lstStyle/>
                  <a:p>
                    <a:r>
                      <a:rPr lang="pl-PL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bezr. w wieku do 30 r.ż.</a:t>
                    </a:r>
                  </a:p>
                  <a:p>
                    <a:r>
                      <a:rPr lang="pl-PL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tj. 24,0 proc.</a:t>
                    </a:r>
                    <a:endParaRPr lang="en-US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26306309179706966"/>
                  <c:y val="-0.17438870702959883"/>
                </c:manualLayout>
              </c:layout>
              <c:tx>
                <c:rich>
                  <a:bodyPr/>
                  <a:lstStyle/>
                  <a:p>
                    <a:r>
                      <a:rPr lang="pl-PL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bezrobotni w wieku 31-50 lat tj. 50,8 proc.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4225224478519133"/>
                  <c:y val="0.11032311972239425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bezr. w wieku pow. 50 lat tj. 25,2 proc.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8508509327532052E-2"/>
                  <c:y val="-0.32730992158199795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Usługi</a:t>
                    </a:r>
                  </a:p>
                  <a:p>
                    <a:r>
                      <a:rPr lang="pl-PL" sz="800"/>
                      <a:t>31,8 %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31219512845254532"/>
                  <c:y val="-1.0222284161382482E-2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1000 i więcej</a:t>
                    </a:r>
                  </a:p>
                  <a:p>
                    <a:r>
                      <a:rPr lang="en-US" sz="800"/>
                      <a:t>0,0</a:t>
                    </a:r>
                    <a:r>
                      <a:rPr lang="pl-PL" sz="800"/>
                      <a:t>2 %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T.XIV!$P$11:$P$13</c:f>
              <c:strCache>
                <c:ptCount val="3"/>
                <c:pt idx="0">
                  <c:v>do 30</c:v>
                </c:pt>
                <c:pt idx="1">
                  <c:v>31-50</c:v>
                </c:pt>
                <c:pt idx="2">
                  <c:v>pow.50</c:v>
                </c:pt>
              </c:strCache>
            </c:strRef>
          </c:cat>
          <c:val>
            <c:numRef>
              <c:f>T.XIV!$R$11:$R$13</c:f>
              <c:numCache>
                <c:formatCode>0.0</c:formatCode>
                <c:ptCount val="3"/>
                <c:pt idx="0">
                  <c:v>24.021965920945867</c:v>
                </c:pt>
                <c:pt idx="1">
                  <c:v>50.812854990147216</c:v>
                </c:pt>
                <c:pt idx="2">
                  <c:v>25.165179088906918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 w="3175">
      <a:noFill/>
    </a:ln>
    <a:effectLst>
      <a:innerShdw blurRad="63500" dist="50800" dir="11340000">
        <a:schemeClr val="accent4">
          <a:lumMod val="60000"/>
          <a:lumOff val="40000"/>
          <a:alpha val="50000"/>
        </a:schemeClr>
      </a:innerShdw>
    </a:effectLst>
    <a:scene3d>
      <a:camera prst="orthographicFront"/>
      <a:lightRig rig="threePt" dir="t"/>
    </a:scene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pl-PL" b="0"/>
              <a:t>oferty ogółem</a:t>
            </a:r>
          </a:p>
          <a:p>
            <a:pPr>
              <a:defRPr b="0"/>
            </a:pPr>
            <a:r>
              <a:rPr lang="pl-PL" b="0"/>
              <a:t>w półroczach </a:t>
            </a:r>
          </a:p>
        </c:rich>
      </c:tx>
      <c:layout>
        <c:manualLayout>
          <c:xMode val="edge"/>
          <c:yMode val="edge"/>
          <c:x val="8.4798714392203794E-2"/>
          <c:y val="5.61700986964377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8242453865517367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T.XX!$L$10</c:f>
              <c:strCache>
                <c:ptCount val="1"/>
                <c:pt idx="0">
                  <c:v>oferty og. w Ip. danego roku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T.XX!$K$12:$K$35</c:f>
              <c:strCache>
                <c:ptCount val="24"/>
                <c:pt idx="0">
                  <c:v>Ip. '99</c:v>
                </c:pt>
                <c:pt idx="1">
                  <c:v>Ip. '00</c:v>
                </c:pt>
                <c:pt idx="2">
                  <c:v>Ip. '01</c:v>
                </c:pt>
                <c:pt idx="3">
                  <c:v>Ip. '02</c:v>
                </c:pt>
                <c:pt idx="4">
                  <c:v>Ip. '03</c:v>
                </c:pt>
                <c:pt idx="5">
                  <c:v>Ip. '04</c:v>
                </c:pt>
                <c:pt idx="6">
                  <c:v>Ip. '05</c:v>
                </c:pt>
                <c:pt idx="7">
                  <c:v>Ip. '06</c:v>
                </c:pt>
                <c:pt idx="8">
                  <c:v>Ip. '07</c:v>
                </c:pt>
                <c:pt idx="9">
                  <c:v>Ip. '08</c:v>
                </c:pt>
                <c:pt idx="10">
                  <c:v>Ip. '09</c:v>
                </c:pt>
                <c:pt idx="11">
                  <c:v>Ip. '10</c:v>
                </c:pt>
                <c:pt idx="12">
                  <c:v>Ip. '11</c:v>
                </c:pt>
                <c:pt idx="13">
                  <c:v>Ip. '12</c:v>
                </c:pt>
                <c:pt idx="14">
                  <c:v>Ip. '13</c:v>
                </c:pt>
                <c:pt idx="15">
                  <c:v>Ip. '14</c:v>
                </c:pt>
                <c:pt idx="16">
                  <c:v>Ip. '15</c:v>
                </c:pt>
                <c:pt idx="17">
                  <c:v>Ip. '16</c:v>
                </c:pt>
                <c:pt idx="18">
                  <c:v>Ip. '17</c:v>
                </c:pt>
                <c:pt idx="19">
                  <c:v>Ip. '18</c:v>
                </c:pt>
                <c:pt idx="20">
                  <c:v>Ip. '19</c:v>
                </c:pt>
                <c:pt idx="21">
                  <c:v>Ip. '20</c:v>
                </c:pt>
                <c:pt idx="22">
                  <c:v>Ip. '21</c:v>
                </c:pt>
                <c:pt idx="23">
                  <c:v>Ip. '22</c:v>
                </c:pt>
              </c:strCache>
            </c:strRef>
          </c:cat>
          <c:val>
            <c:numRef>
              <c:f>T.XX!$L$12:$L$35</c:f>
              <c:numCache>
                <c:formatCode>#,##0</c:formatCode>
                <c:ptCount val="24"/>
                <c:pt idx="0">
                  <c:v>19411</c:v>
                </c:pt>
                <c:pt idx="1">
                  <c:v>16479</c:v>
                </c:pt>
                <c:pt idx="2">
                  <c:v>12461</c:v>
                </c:pt>
                <c:pt idx="3">
                  <c:v>12658</c:v>
                </c:pt>
                <c:pt idx="4">
                  <c:v>19490</c:v>
                </c:pt>
                <c:pt idx="5">
                  <c:v>21329</c:v>
                </c:pt>
                <c:pt idx="6">
                  <c:v>21427</c:v>
                </c:pt>
                <c:pt idx="7">
                  <c:v>25517</c:v>
                </c:pt>
                <c:pt idx="8">
                  <c:v>27392</c:v>
                </c:pt>
                <c:pt idx="9">
                  <c:v>28169</c:v>
                </c:pt>
                <c:pt idx="10">
                  <c:v>25139</c:v>
                </c:pt>
                <c:pt idx="11">
                  <c:v>30966</c:v>
                </c:pt>
                <c:pt idx="12">
                  <c:v>24104</c:v>
                </c:pt>
                <c:pt idx="13">
                  <c:v>24066</c:v>
                </c:pt>
                <c:pt idx="14">
                  <c:v>31113</c:v>
                </c:pt>
                <c:pt idx="15">
                  <c:v>31924</c:v>
                </c:pt>
                <c:pt idx="16">
                  <c:v>33364</c:v>
                </c:pt>
                <c:pt idx="17">
                  <c:v>38617</c:v>
                </c:pt>
                <c:pt idx="18">
                  <c:v>41480</c:v>
                </c:pt>
                <c:pt idx="19">
                  <c:v>34404</c:v>
                </c:pt>
                <c:pt idx="20">
                  <c:v>31188</c:v>
                </c:pt>
                <c:pt idx="21">
                  <c:v>15976</c:v>
                </c:pt>
                <c:pt idx="22">
                  <c:v>24927</c:v>
                </c:pt>
                <c:pt idx="23" formatCode="General">
                  <c:v>27664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32832"/>
        <c:axId val="201034368"/>
      </c:lineChart>
      <c:catAx>
        <c:axId val="201032832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01034368"/>
        <c:crosses val="autoZero"/>
        <c:auto val="1"/>
        <c:lblAlgn val="ctr"/>
        <c:lblOffset val="100"/>
        <c:noMultiLvlLbl val="0"/>
      </c:catAx>
      <c:valAx>
        <c:axId val="201034368"/>
        <c:scaling>
          <c:orientation val="minMax"/>
          <c:max val="45000"/>
          <c:min val="0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rgbClr val="5353FF">
                  <a:alpha val="81961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7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201032832"/>
        <c:crosses val="autoZero"/>
        <c:crossBetween val="midCat"/>
        <c:majorUnit val="2000"/>
        <c:minorUnit val="500"/>
      </c:valAx>
      <c:spPr>
        <a:noFill/>
      </c:spPr>
    </c:plotArea>
    <c:legend>
      <c:legendPos val="t"/>
      <c:layout>
        <c:manualLayout>
          <c:xMode val="edge"/>
          <c:yMode val="edge"/>
          <c:x val="0.22838436021457345"/>
          <c:y val="0.70837431174364174"/>
          <c:w val="0.66345844908285179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10551558753"/>
          <c:y val="5.1400554097404488E-2"/>
          <c:w val="0.87061179402934341"/>
          <c:h val="0.8494546515018955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T.XX!$H$10</c:f>
              <c:strCache>
                <c:ptCount val="1"/>
                <c:pt idx="0">
                  <c:v>oferty og. w roku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 cmpd="sng">
              <a:solidFill>
                <a:schemeClr val="bg1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T.XX!$G$12:$G$34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T.XX!$H$12:$H$34</c:f>
              <c:numCache>
                <c:formatCode>#,##0</c:formatCode>
                <c:ptCount val="23"/>
                <c:pt idx="0">
                  <c:v>38322</c:v>
                </c:pt>
                <c:pt idx="1">
                  <c:v>31625</c:v>
                </c:pt>
                <c:pt idx="2">
                  <c:v>25129</c:v>
                </c:pt>
                <c:pt idx="3">
                  <c:v>28470</c:v>
                </c:pt>
                <c:pt idx="4">
                  <c:v>39334</c:v>
                </c:pt>
                <c:pt idx="5">
                  <c:v>40346</c:v>
                </c:pt>
                <c:pt idx="6">
                  <c:v>41016</c:v>
                </c:pt>
                <c:pt idx="7">
                  <c:v>48932</c:v>
                </c:pt>
                <c:pt idx="8">
                  <c:v>49327</c:v>
                </c:pt>
                <c:pt idx="9">
                  <c:v>51046</c:v>
                </c:pt>
                <c:pt idx="10">
                  <c:v>47263</c:v>
                </c:pt>
                <c:pt idx="11">
                  <c:v>57481</c:v>
                </c:pt>
                <c:pt idx="12">
                  <c:v>42554</c:v>
                </c:pt>
                <c:pt idx="13">
                  <c:v>48689</c:v>
                </c:pt>
                <c:pt idx="14">
                  <c:v>54304</c:v>
                </c:pt>
                <c:pt idx="15">
                  <c:v>60555</c:v>
                </c:pt>
                <c:pt idx="16">
                  <c:v>61276</c:v>
                </c:pt>
                <c:pt idx="17">
                  <c:v>72410</c:v>
                </c:pt>
                <c:pt idx="18">
                  <c:v>75836</c:v>
                </c:pt>
                <c:pt idx="19">
                  <c:v>61438</c:v>
                </c:pt>
                <c:pt idx="20">
                  <c:v>53791</c:v>
                </c:pt>
                <c:pt idx="21">
                  <c:v>37090</c:v>
                </c:pt>
                <c:pt idx="22">
                  <c:v>50760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73"/>
        <c:axId val="201051520"/>
        <c:axId val="201331840"/>
      </c:barChart>
      <c:catAx>
        <c:axId val="201051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01331840"/>
        <c:crosses val="autoZero"/>
        <c:auto val="1"/>
        <c:lblAlgn val="ctr"/>
        <c:lblOffset val="100"/>
        <c:noMultiLvlLbl val="0"/>
      </c:catAx>
      <c:valAx>
        <c:axId val="201331840"/>
        <c:scaling>
          <c:orientation val="minMax"/>
          <c:max val="80000"/>
          <c:min val="0"/>
        </c:scaling>
        <c:delete val="0"/>
        <c:axPos val="b"/>
        <c:minorGridlines>
          <c:spPr>
            <a:ln>
              <a:solidFill>
                <a:schemeClr val="bg1">
                  <a:lumMod val="50000"/>
                  <a:alpha val="33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  <a:alpha val="52000"/>
              </a:schemeClr>
            </a:solidFill>
          </a:ln>
        </c:spPr>
        <c:txPr>
          <a:bodyPr/>
          <a:lstStyle/>
          <a:p>
            <a:pPr>
              <a:defRPr sz="9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01051520"/>
        <c:crosses val="autoZero"/>
        <c:crossBetween val="between"/>
        <c:majorUnit val="10000"/>
        <c:min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4582606029771E-2"/>
          <c:y val="5.1400554097404488E-2"/>
          <c:w val="0.88739828028072809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T.XX!$H$10</c:f>
              <c:strCache>
                <c:ptCount val="1"/>
                <c:pt idx="0">
                  <c:v>oferty og. w roku</c:v>
                </c:pt>
              </c:strCache>
            </c:strRef>
          </c:tx>
          <c:spPr>
            <a:ln w="635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</c:spPr>
          </c:marker>
          <c:cat>
            <c:numRef>
              <c:f>T.XX!$G$12:$G$34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T.XX!$H$12:$H$34</c:f>
              <c:numCache>
                <c:formatCode>#,##0</c:formatCode>
                <c:ptCount val="23"/>
                <c:pt idx="0">
                  <c:v>38322</c:v>
                </c:pt>
                <c:pt idx="1">
                  <c:v>31625</c:v>
                </c:pt>
                <c:pt idx="2">
                  <c:v>25129</c:v>
                </c:pt>
                <c:pt idx="3">
                  <c:v>28470</c:v>
                </c:pt>
                <c:pt idx="4">
                  <c:v>39334</c:v>
                </c:pt>
                <c:pt idx="5">
                  <c:v>40346</c:v>
                </c:pt>
                <c:pt idx="6">
                  <c:v>41016</c:v>
                </c:pt>
                <c:pt idx="7">
                  <c:v>48932</c:v>
                </c:pt>
                <c:pt idx="8">
                  <c:v>49327</c:v>
                </c:pt>
                <c:pt idx="9">
                  <c:v>51046</c:v>
                </c:pt>
                <c:pt idx="10">
                  <c:v>47263</c:v>
                </c:pt>
                <c:pt idx="11">
                  <c:v>57481</c:v>
                </c:pt>
                <c:pt idx="12">
                  <c:v>42554</c:v>
                </c:pt>
                <c:pt idx="13">
                  <c:v>48689</c:v>
                </c:pt>
                <c:pt idx="14">
                  <c:v>54304</c:v>
                </c:pt>
                <c:pt idx="15">
                  <c:v>60555</c:v>
                </c:pt>
                <c:pt idx="16">
                  <c:v>61276</c:v>
                </c:pt>
                <c:pt idx="17">
                  <c:v>72410</c:v>
                </c:pt>
                <c:pt idx="18">
                  <c:v>75836</c:v>
                </c:pt>
                <c:pt idx="19">
                  <c:v>61438</c:v>
                </c:pt>
                <c:pt idx="20">
                  <c:v>53791</c:v>
                </c:pt>
                <c:pt idx="21">
                  <c:v>37090</c:v>
                </c:pt>
                <c:pt idx="22">
                  <c:v>50760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T.XX!$I$10</c:f>
              <c:strCache>
                <c:ptCount val="1"/>
                <c:pt idx="0">
                  <c:v>w tym subs. w roku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T.XX!$G$12:$G$34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T.XX!$I$12:$I$34</c:f>
              <c:numCache>
                <c:formatCode>#,##0</c:formatCode>
                <c:ptCount val="23"/>
                <c:pt idx="0">
                  <c:v>14842</c:v>
                </c:pt>
                <c:pt idx="1">
                  <c:v>14996</c:v>
                </c:pt>
                <c:pt idx="2">
                  <c:v>8521</c:v>
                </c:pt>
                <c:pt idx="3">
                  <c:v>12944</c:v>
                </c:pt>
                <c:pt idx="4">
                  <c:v>22556</c:v>
                </c:pt>
                <c:pt idx="5">
                  <c:v>20038</c:v>
                </c:pt>
                <c:pt idx="6">
                  <c:v>18757</c:v>
                </c:pt>
                <c:pt idx="7">
                  <c:v>20054</c:v>
                </c:pt>
                <c:pt idx="8">
                  <c:v>24494</c:v>
                </c:pt>
                <c:pt idx="9">
                  <c:v>28458</c:v>
                </c:pt>
                <c:pt idx="10">
                  <c:v>28957</c:v>
                </c:pt>
                <c:pt idx="11">
                  <c:v>35663</c:v>
                </c:pt>
                <c:pt idx="12">
                  <c:v>16768</c:v>
                </c:pt>
                <c:pt idx="13">
                  <c:v>25146</c:v>
                </c:pt>
                <c:pt idx="14">
                  <c:v>26050</c:v>
                </c:pt>
                <c:pt idx="15">
                  <c:v>27292</c:v>
                </c:pt>
                <c:pt idx="16">
                  <c:v>28848</c:v>
                </c:pt>
                <c:pt idx="17">
                  <c:v>31407</c:v>
                </c:pt>
                <c:pt idx="18">
                  <c:v>30828</c:v>
                </c:pt>
                <c:pt idx="19">
                  <c:v>20784</c:v>
                </c:pt>
                <c:pt idx="20">
                  <c:v>20491</c:v>
                </c:pt>
                <c:pt idx="21">
                  <c:v>14301</c:v>
                </c:pt>
                <c:pt idx="22">
                  <c:v>17820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67552"/>
        <c:axId val="201369088"/>
      </c:lineChart>
      <c:catAx>
        <c:axId val="2013675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  <a:alpha val="2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01369088"/>
        <c:crosses val="autoZero"/>
        <c:auto val="1"/>
        <c:lblAlgn val="ctr"/>
        <c:lblOffset val="100"/>
        <c:noMultiLvlLbl val="0"/>
      </c:catAx>
      <c:valAx>
        <c:axId val="201369088"/>
        <c:scaling>
          <c:orientation val="minMax"/>
        </c:scaling>
        <c:delete val="0"/>
        <c:axPos val="l"/>
        <c:minorGridlines>
          <c:spPr>
            <a:ln>
              <a:solidFill>
                <a:schemeClr val="accent4">
                  <a:lumMod val="60000"/>
                  <a:lumOff val="40000"/>
                  <a:alpha val="59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  <a:alpha val="52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01367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8003025890242998E-2"/>
          <c:y val="5.2001836411920674E-2"/>
          <c:w val="0.62425671607441391"/>
          <c:h val="0.10659437549709831"/>
        </c:manualLayout>
      </c:layout>
      <c:overlay val="0"/>
      <c:spPr>
        <a:noFill/>
      </c:spPr>
      <c:txPr>
        <a:bodyPr/>
        <a:lstStyle/>
        <a:p>
          <a:pPr>
            <a:defRPr sz="9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4582606029771E-2"/>
          <c:y val="5.1400554097404488E-2"/>
          <c:w val="0.88739828028072809"/>
          <c:h val="0.8326195683872849"/>
        </c:manualLayout>
      </c:layout>
      <c:lineChart>
        <c:grouping val="standard"/>
        <c:varyColors val="0"/>
        <c:ser>
          <c:idx val="2"/>
          <c:order val="0"/>
          <c:tx>
            <c:strRef>
              <c:f>T.XX!$L$10</c:f>
              <c:strCache>
                <c:ptCount val="1"/>
                <c:pt idx="0">
                  <c:v>oferty og. w Ip. danego roku</c:v>
                </c:pt>
              </c:strCache>
            </c:strRef>
          </c:tx>
          <c:spPr>
            <a:ln w="41275" cmpd="sng">
              <a:solidFill>
                <a:schemeClr val="tx2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137210427409024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137210427409004E-2"/>
                  <c:y val="-3.8335800836353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137210427409024E-2"/>
                  <c:y val="2.407131680422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137210427409024E-2"/>
                  <c:y val="2.8528968064263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45618010124659E-2"/>
                  <c:y val="2.8528968064263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137210427409024E-2"/>
                  <c:y val="-3.8335800836353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0137210427409024E-2"/>
                  <c:y val="-2.9420498316271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078891943952226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078891943952149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0137210427409024E-2"/>
                  <c:y val="-2.9420498316271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0137210427409024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0137210427409024E-2"/>
                  <c:y val="-3.8335800836353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7770119860585391E-2"/>
                  <c:y val="-2.9420498316271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T.XX!$G$12:$G$35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T.XX!$L$12:$L$35</c:f>
              <c:numCache>
                <c:formatCode>#,##0</c:formatCode>
                <c:ptCount val="24"/>
                <c:pt idx="0">
                  <c:v>19411</c:v>
                </c:pt>
                <c:pt idx="1">
                  <c:v>16479</c:v>
                </c:pt>
                <c:pt idx="2">
                  <c:v>12461</c:v>
                </c:pt>
                <c:pt idx="3">
                  <c:v>12658</c:v>
                </c:pt>
                <c:pt idx="4">
                  <c:v>19490</c:v>
                </c:pt>
                <c:pt idx="5">
                  <c:v>21329</c:v>
                </c:pt>
                <c:pt idx="6">
                  <c:v>21427</c:v>
                </c:pt>
                <c:pt idx="7">
                  <c:v>25517</c:v>
                </c:pt>
                <c:pt idx="8">
                  <c:v>27392</c:v>
                </c:pt>
                <c:pt idx="9">
                  <c:v>28169</c:v>
                </c:pt>
                <c:pt idx="10">
                  <c:v>25139</c:v>
                </c:pt>
                <c:pt idx="11">
                  <c:v>30966</c:v>
                </c:pt>
                <c:pt idx="12">
                  <c:v>24104</c:v>
                </c:pt>
                <c:pt idx="13">
                  <c:v>24066</c:v>
                </c:pt>
                <c:pt idx="14">
                  <c:v>31113</c:v>
                </c:pt>
                <c:pt idx="15">
                  <c:v>31924</c:v>
                </c:pt>
                <c:pt idx="16">
                  <c:v>33364</c:v>
                </c:pt>
                <c:pt idx="17">
                  <c:v>38617</c:v>
                </c:pt>
                <c:pt idx="18">
                  <c:v>41480</c:v>
                </c:pt>
                <c:pt idx="19">
                  <c:v>34404</c:v>
                </c:pt>
                <c:pt idx="20">
                  <c:v>31188</c:v>
                </c:pt>
                <c:pt idx="21">
                  <c:v>15976</c:v>
                </c:pt>
                <c:pt idx="22">
                  <c:v>24927</c:v>
                </c:pt>
                <c:pt idx="23" formatCode="General">
                  <c:v>27664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T.XX!$N$10</c:f>
              <c:strCache>
                <c:ptCount val="1"/>
                <c:pt idx="0">
                  <c:v>subsydia w Ip. danego roku</c:v>
                </c:pt>
              </c:strCache>
            </c:strRef>
          </c:tx>
          <c:spPr>
            <a:ln w="63500" cmpd="tri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T.XX!$G$12:$G$35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T.XX!$N$12:$N$35</c:f>
              <c:numCache>
                <c:formatCode>#,##0</c:formatCode>
                <c:ptCount val="24"/>
                <c:pt idx="2">
                  <c:v>4362</c:v>
                </c:pt>
                <c:pt idx="3">
                  <c:v>4639</c:v>
                </c:pt>
                <c:pt idx="4">
                  <c:v>11201</c:v>
                </c:pt>
                <c:pt idx="6">
                  <c:v>10813</c:v>
                </c:pt>
                <c:pt idx="7">
                  <c:v>9779</c:v>
                </c:pt>
                <c:pt idx="8">
                  <c:v>14414</c:v>
                </c:pt>
                <c:pt idx="9">
                  <c:v>15639</c:v>
                </c:pt>
                <c:pt idx="10">
                  <c:v>16435</c:v>
                </c:pt>
                <c:pt idx="11">
                  <c:v>21368</c:v>
                </c:pt>
                <c:pt idx="12">
                  <c:v>10464</c:v>
                </c:pt>
                <c:pt idx="13">
                  <c:v>12684</c:v>
                </c:pt>
                <c:pt idx="14">
                  <c:v>17521</c:v>
                </c:pt>
                <c:pt idx="15">
                  <c:v>16121</c:v>
                </c:pt>
                <c:pt idx="16">
                  <c:v>16952</c:v>
                </c:pt>
                <c:pt idx="17">
                  <c:v>19558</c:v>
                </c:pt>
                <c:pt idx="18">
                  <c:v>17945</c:v>
                </c:pt>
                <c:pt idx="19">
                  <c:v>12024</c:v>
                </c:pt>
                <c:pt idx="20">
                  <c:v>12447</c:v>
                </c:pt>
                <c:pt idx="21">
                  <c:v>6536</c:v>
                </c:pt>
                <c:pt idx="22">
                  <c:v>9903</c:v>
                </c:pt>
                <c:pt idx="23" formatCode="General">
                  <c:v>11166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94432"/>
        <c:axId val="201424896"/>
      </c:lineChart>
      <c:catAx>
        <c:axId val="201394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  <a:alpha val="2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01424896"/>
        <c:crosses val="autoZero"/>
        <c:auto val="1"/>
        <c:lblAlgn val="ctr"/>
        <c:lblOffset val="100"/>
        <c:noMultiLvlLbl val="0"/>
      </c:catAx>
      <c:valAx>
        <c:axId val="201424896"/>
        <c:scaling>
          <c:orientation val="minMax"/>
        </c:scaling>
        <c:delete val="0"/>
        <c:axPos val="l"/>
        <c:minorGridlines>
          <c:spPr>
            <a:ln>
              <a:solidFill>
                <a:schemeClr val="accent4">
                  <a:lumMod val="60000"/>
                  <a:lumOff val="40000"/>
                  <a:alpha val="59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  <a:alpha val="52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01394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8003025890242998E-2"/>
          <c:y val="5.2001836411920674E-2"/>
          <c:w val="0.44640331671178596"/>
          <c:h val="9.663598347357584E-2"/>
        </c:manualLayout>
      </c:layout>
      <c:overlay val="0"/>
      <c:spPr>
        <a:noFill/>
      </c:spPr>
      <c:txPr>
        <a:bodyPr/>
        <a:lstStyle/>
        <a:p>
          <a:pPr>
            <a:defRPr sz="900" b="0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b="1">
                <a:latin typeface="Arial" panose="020B0604020202020204" pitchFamily="34" charset="0"/>
                <a:cs typeface="Arial" panose="020B0604020202020204" pitchFamily="34" charset="0"/>
              </a:rPr>
              <a:t>okres I p. w danym roku</a:t>
            </a:r>
          </a:p>
        </c:rich>
      </c:tx>
      <c:layout>
        <c:manualLayout>
          <c:xMode val="edge"/>
          <c:yMode val="edge"/>
          <c:x val="0.33968594752743753"/>
          <c:y val="9.21779542279437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8242453865517367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T.XXV!$I$7</c:f>
              <c:strCache>
                <c:ptCount val="1"/>
                <c:pt idx="0">
                  <c:v>zgłoszenia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T.XXV!$H$8:$H$23</c:f>
              <c:strCache>
                <c:ptCount val="16"/>
                <c:pt idx="0">
                  <c:v>Ip '07</c:v>
                </c:pt>
                <c:pt idx="1">
                  <c:v>Ip '08</c:v>
                </c:pt>
                <c:pt idx="2">
                  <c:v>Ip '09</c:v>
                </c:pt>
                <c:pt idx="3">
                  <c:v>Ip '10</c:v>
                </c:pt>
                <c:pt idx="4">
                  <c:v>Ip '11</c:v>
                </c:pt>
                <c:pt idx="5">
                  <c:v>Ip '12</c:v>
                </c:pt>
                <c:pt idx="6">
                  <c:v>Ip '13</c:v>
                </c:pt>
                <c:pt idx="7">
                  <c:v>Ip '14</c:v>
                </c:pt>
                <c:pt idx="8">
                  <c:v>Ip '15</c:v>
                </c:pt>
                <c:pt idx="9">
                  <c:v>Ip '16</c:v>
                </c:pt>
                <c:pt idx="10">
                  <c:v>Ip '17</c:v>
                </c:pt>
                <c:pt idx="11">
                  <c:v>Ip '18</c:v>
                </c:pt>
                <c:pt idx="12">
                  <c:v>Ip '19</c:v>
                </c:pt>
                <c:pt idx="13">
                  <c:v>IP '20</c:v>
                </c:pt>
                <c:pt idx="14">
                  <c:v>IP '21</c:v>
                </c:pt>
                <c:pt idx="15">
                  <c:v>IP '22</c:v>
                </c:pt>
              </c:strCache>
            </c:strRef>
          </c:cat>
          <c:val>
            <c:numRef>
              <c:f>T.XXV!$I$8:$I$23</c:f>
              <c:numCache>
                <c:formatCode>#,##0</c:formatCode>
                <c:ptCount val="16"/>
                <c:pt idx="0">
                  <c:v>236</c:v>
                </c:pt>
                <c:pt idx="1">
                  <c:v>1321</c:v>
                </c:pt>
                <c:pt idx="2">
                  <c:v>8218</c:v>
                </c:pt>
                <c:pt idx="3">
                  <c:v>803</c:v>
                </c:pt>
                <c:pt idx="4">
                  <c:v>2044</c:v>
                </c:pt>
                <c:pt idx="5">
                  <c:v>438</c:v>
                </c:pt>
                <c:pt idx="6">
                  <c:v>1134</c:v>
                </c:pt>
                <c:pt idx="7">
                  <c:v>809</c:v>
                </c:pt>
                <c:pt idx="8">
                  <c:v>991</c:v>
                </c:pt>
                <c:pt idx="9">
                  <c:v>264</c:v>
                </c:pt>
                <c:pt idx="10">
                  <c:v>485</c:v>
                </c:pt>
                <c:pt idx="11">
                  <c:v>323</c:v>
                </c:pt>
                <c:pt idx="12">
                  <c:v>835</c:v>
                </c:pt>
                <c:pt idx="13">
                  <c:v>3035</c:v>
                </c:pt>
                <c:pt idx="14">
                  <c:v>88</c:v>
                </c:pt>
                <c:pt idx="15" formatCode="General">
                  <c:v>599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T.XXV!$J$7</c:f>
              <c:strCache>
                <c:ptCount val="1"/>
                <c:pt idx="0">
                  <c:v>zwolnienia</c:v>
                </c:pt>
              </c:strCache>
            </c:strRef>
          </c:tx>
          <c:marker>
            <c:symbol val="none"/>
          </c:marker>
          <c:cat>
            <c:strRef>
              <c:f>T.XXV!$H$8:$H$23</c:f>
              <c:strCache>
                <c:ptCount val="16"/>
                <c:pt idx="0">
                  <c:v>Ip '07</c:v>
                </c:pt>
                <c:pt idx="1">
                  <c:v>Ip '08</c:v>
                </c:pt>
                <c:pt idx="2">
                  <c:v>Ip '09</c:v>
                </c:pt>
                <c:pt idx="3">
                  <c:v>Ip '10</c:v>
                </c:pt>
                <c:pt idx="4">
                  <c:v>Ip '11</c:v>
                </c:pt>
                <c:pt idx="5">
                  <c:v>Ip '12</c:v>
                </c:pt>
                <c:pt idx="6">
                  <c:v>Ip '13</c:v>
                </c:pt>
                <c:pt idx="7">
                  <c:v>Ip '14</c:v>
                </c:pt>
                <c:pt idx="8">
                  <c:v>Ip '15</c:v>
                </c:pt>
                <c:pt idx="9">
                  <c:v>Ip '16</c:v>
                </c:pt>
                <c:pt idx="10">
                  <c:v>Ip '17</c:v>
                </c:pt>
                <c:pt idx="11">
                  <c:v>Ip '18</c:v>
                </c:pt>
                <c:pt idx="12">
                  <c:v>Ip '19</c:v>
                </c:pt>
                <c:pt idx="13">
                  <c:v>IP '20</c:v>
                </c:pt>
                <c:pt idx="14">
                  <c:v>IP '21</c:v>
                </c:pt>
                <c:pt idx="15">
                  <c:v>IP '22</c:v>
                </c:pt>
              </c:strCache>
            </c:strRef>
          </c:cat>
          <c:val>
            <c:numRef>
              <c:f>T.XXV!$J$8:$J$23</c:f>
              <c:numCache>
                <c:formatCode>#,##0</c:formatCode>
                <c:ptCount val="16"/>
                <c:pt idx="0">
                  <c:v>199</c:v>
                </c:pt>
                <c:pt idx="1">
                  <c:v>909</c:v>
                </c:pt>
                <c:pt idx="2">
                  <c:v>4590</c:v>
                </c:pt>
                <c:pt idx="3">
                  <c:v>129</c:v>
                </c:pt>
                <c:pt idx="4">
                  <c:v>1509</c:v>
                </c:pt>
                <c:pt idx="5">
                  <c:v>549</c:v>
                </c:pt>
                <c:pt idx="6">
                  <c:v>590</c:v>
                </c:pt>
                <c:pt idx="7">
                  <c:v>378</c:v>
                </c:pt>
                <c:pt idx="8">
                  <c:v>419</c:v>
                </c:pt>
                <c:pt idx="9">
                  <c:v>92</c:v>
                </c:pt>
                <c:pt idx="10">
                  <c:v>348</c:v>
                </c:pt>
                <c:pt idx="11">
                  <c:v>358</c:v>
                </c:pt>
                <c:pt idx="12">
                  <c:v>333</c:v>
                </c:pt>
                <c:pt idx="13">
                  <c:v>1230</c:v>
                </c:pt>
                <c:pt idx="14">
                  <c:v>238</c:v>
                </c:pt>
                <c:pt idx="15" formatCode="General">
                  <c:v>204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25856"/>
        <c:axId val="200856320"/>
      </c:lineChart>
      <c:catAx>
        <c:axId val="200825856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00856320"/>
        <c:crosses val="autoZero"/>
        <c:auto val="1"/>
        <c:lblAlgn val="ctr"/>
        <c:lblOffset val="100"/>
        <c:noMultiLvlLbl val="0"/>
      </c:catAx>
      <c:valAx>
        <c:axId val="200856320"/>
        <c:scaling>
          <c:orientation val="minMax"/>
          <c:max val="10000"/>
          <c:min val="0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rgbClr val="5353FF">
                  <a:alpha val="81961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200825856"/>
        <c:crosses val="autoZero"/>
        <c:crossBetween val="midCat"/>
        <c:majorUnit val="500"/>
        <c:minorUnit val="100"/>
      </c:valAx>
      <c:spPr>
        <a:noFill/>
      </c:spPr>
    </c:plotArea>
    <c:legend>
      <c:legendPos val="t"/>
      <c:layout>
        <c:manualLayout>
          <c:xMode val="edge"/>
          <c:yMode val="edge"/>
          <c:x val="0.28026406253413433"/>
          <c:y val="0.2287686315221733"/>
          <c:w val="0.54390956982473326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84668</xdr:colOff>
      <xdr:row>3</xdr:row>
      <xdr:rowOff>148168</xdr:rowOff>
    </xdr:from>
    <xdr:to>
      <xdr:col>23</xdr:col>
      <xdr:colOff>571501</xdr:colOff>
      <xdr:row>28</xdr:row>
      <xdr:rowOff>10584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370417</xdr:colOff>
      <xdr:row>3</xdr:row>
      <xdr:rowOff>116417</xdr:rowOff>
    </xdr:from>
    <xdr:to>
      <xdr:col>30</xdr:col>
      <xdr:colOff>243417</xdr:colOff>
      <xdr:row>27</xdr:row>
      <xdr:rowOff>179916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687915</xdr:colOff>
      <xdr:row>11</xdr:row>
      <xdr:rowOff>10584</xdr:rowOff>
    </xdr:from>
    <xdr:to>
      <xdr:col>22</xdr:col>
      <xdr:colOff>202140</xdr:colOff>
      <xdr:row>31</xdr:row>
      <xdr:rowOff>19049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15</xdr:row>
      <xdr:rowOff>76199</xdr:rowOff>
    </xdr:from>
    <xdr:to>
      <xdr:col>20</xdr:col>
      <xdr:colOff>600075</xdr:colOff>
      <xdr:row>28</xdr:row>
      <xdr:rowOff>142874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105833</xdr:colOff>
      <xdr:row>0</xdr:row>
      <xdr:rowOff>84665</xdr:rowOff>
    </xdr:from>
    <xdr:to>
      <xdr:col>25</xdr:col>
      <xdr:colOff>211666</xdr:colOff>
      <xdr:row>10</xdr:row>
      <xdr:rowOff>105832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645583</xdr:colOff>
      <xdr:row>10</xdr:row>
      <xdr:rowOff>84670</xdr:rowOff>
    </xdr:from>
    <xdr:to>
      <xdr:col>25</xdr:col>
      <xdr:colOff>169333</xdr:colOff>
      <xdr:row>25</xdr:row>
      <xdr:rowOff>74085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582082</xdr:colOff>
      <xdr:row>38</xdr:row>
      <xdr:rowOff>148166</xdr:rowOff>
    </xdr:from>
    <xdr:to>
      <xdr:col>25</xdr:col>
      <xdr:colOff>571500</xdr:colOff>
      <xdr:row>51</xdr:row>
      <xdr:rowOff>179916</xdr:rowOff>
    </xdr:to>
    <xdr:graphicFrame macro="">
      <xdr:nvGraphicFramePr>
        <xdr:cNvPr id="8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539750</xdr:colOff>
      <xdr:row>25</xdr:row>
      <xdr:rowOff>84668</xdr:rowOff>
    </xdr:from>
    <xdr:to>
      <xdr:col>25</xdr:col>
      <xdr:colOff>529168</xdr:colOff>
      <xdr:row>38</xdr:row>
      <xdr:rowOff>148166</xdr:rowOff>
    </xdr:to>
    <xdr:graphicFrame macro="">
      <xdr:nvGraphicFramePr>
        <xdr:cNvPr id="5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560916</xdr:colOff>
      <xdr:row>1</xdr:row>
      <xdr:rowOff>42335</xdr:rowOff>
    </xdr:from>
    <xdr:to>
      <xdr:col>25</xdr:col>
      <xdr:colOff>52916</xdr:colOff>
      <xdr:row>11</xdr:row>
      <xdr:rowOff>158750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539749</xdr:colOff>
      <xdr:row>12</xdr:row>
      <xdr:rowOff>52917</xdr:rowOff>
    </xdr:from>
    <xdr:to>
      <xdr:col>25</xdr:col>
      <xdr:colOff>31749</xdr:colOff>
      <xdr:row>25</xdr:row>
      <xdr:rowOff>63499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275167</xdr:colOff>
      <xdr:row>2</xdr:row>
      <xdr:rowOff>84666</xdr:rowOff>
    </xdr:from>
    <xdr:to>
      <xdr:col>29</xdr:col>
      <xdr:colOff>381000</xdr:colOff>
      <xdr:row>8</xdr:row>
      <xdr:rowOff>264584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243417</xdr:colOff>
      <xdr:row>9</xdr:row>
      <xdr:rowOff>190501</xdr:rowOff>
    </xdr:from>
    <xdr:to>
      <xdr:col>29</xdr:col>
      <xdr:colOff>105833</xdr:colOff>
      <xdr:row>18</xdr:row>
      <xdr:rowOff>31751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L11"/>
  <sheetViews>
    <sheetView tabSelected="1" zoomScale="120" zoomScaleNormal="12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30.28515625" style="11" customWidth="1"/>
    <col min="3" max="3" width="10.42578125" style="11" customWidth="1"/>
    <col min="4" max="4" width="9.7109375" style="11" customWidth="1"/>
    <col min="5" max="5" width="8.5703125" style="11" customWidth="1"/>
    <col min="6" max="6" width="10.140625" style="11" customWidth="1"/>
    <col min="7" max="7" width="9.28515625" style="11" customWidth="1"/>
    <col min="8" max="8" width="7.7109375" style="11" customWidth="1"/>
    <col min="9" max="9" width="12.140625" style="11" customWidth="1"/>
    <col min="10" max="10" width="11.7109375" style="11" customWidth="1"/>
    <col min="11" max="16384" width="9.140625" style="11"/>
  </cols>
  <sheetData>
    <row r="1" spans="2:12" ht="9.75" customHeight="1" x14ac:dyDescent="0.25"/>
    <row r="2" spans="2:12" x14ac:dyDescent="0.25">
      <c r="B2" s="11" t="s">
        <v>274</v>
      </c>
    </row>
    <row r="3" spans="2:12" x14ac:dyDescent="0.25">
      <c r="B3" s="11" t="s">
        <v>275</v>
      </c>
    </row>
    <row r="4" spans="2:12" ht="9" customHeight="1" thickBot="1" x14ac:dyDescent="0.3"/>
    <row r="5" spans="2:12" ht="30" customHeight="1" x14ac:dyDescent="0.25">
      <c r="B5" s="875" t="s">
        <v>117</v>
      </c>
      <c r="C5" s="878" t="s">
        <v>471</v>
      </c>
      <c r="D5" s="878"/>
      <c r="E5" s="879"/>
      <c r="F5" s="878" t="s">
        <v>472</v>
      </c>
      <c r="G5" s="878"/>
      <c r="H5" s="879"/>
      <c r="I5" s="880" t="s">
        <v>278</v>
      </c>
      <c r="J5" s="883" t="s">
        <v>320</v>
      </c>
    </row>
    <row r="6" spans="2:12" ht="26.25" customHeight="1" x14ac:dyDescent="0.25">
      <c r="B6" s="876"/>
      <c r="C6" s="886" t="s">
        <v>329</v>
      </c>
      <c r="D6" s="888" t="s">
        <v>103</v>
      </c>
      <c r="E6" s="889"/>
      <c r="F6" s="886" t="s">
        <v>329</v>
      </c>
      <c r="G6" s="888" t="s">
        <v>103</v>
      </c>
      <c r="H6" s="889"/>
      <c r="I6" s="881"/>
      <c r="J6" s="884"/>
    </row>
    <row r="7" spans="2:12" ht="34.5" customHeight="1" thickBot="1" x14ac:dyDescent="0.3">
      <c r="B7" s="877"/>
      <c r="C7" s="887"/>
      <c r="D7" s="319" t="s">
        <v>121</v>
      </c>
      <c r="E7" s="83" t="s">
        <v>484</v>
      </c>
      <c r="F7" s="887"/>
      <c r="G7" s="319" t="s">
        <v>121</v>
      </c>
      <c r="H7" s="83" t="s">
        <v>484</v>
      </c>
      <c r="I7" s="882"/>
      <c r="J7" s="885"/>
    </row>
    <row r="8" spans="2:12" ht="34.5" customHeight="1" x14ac:dyDescent="0.25">
      <c r="B8" s="129" t="s">
        <v>4</v>
      </c>
      <c r="C8" s="299">
        <v>77291</v>
      </c>
      <c r="D8" s="52">
        <v>41090</v>
      </c>
      <c r="E8" s="108">
        <f>D8*100/C8</f>
        <v>53.16272269733863</v>
      </c>
      <c r="F8" s="299">
        <v>69016</v>
      </c>
      <c r="G8" s="52">
        <v>37256</v>
      </c>
      <c r="H8" s="108">
        <f>G8*100/F8</f>
        <v>53.981685406282601</v>
      </c>
      <c r="I8" s="61">
        <f>SUM(F8-C8)</f>
        <v>-8275</v>
      </c>
      <c r="J8" s="326">
        <f>SUM(I8/C8*100)</f>
        <v>-10.706291806290512</v>
      </c>
      <c r="L8" s="379">
        <f>SUM(G8/F8)*100</f>
        <v>53.981685406282601</v>
      </c>
    </row>
    <row r="9" spans="2:12" ht="27" customHeight="1" x14ac:dyDescent="0.25">
      <c r="B9" s="12" t="s">
        <v>0</v>
      </c>
      <c r="C9" s="56">
        <v>66231</v>
      </c>
      <c r="D9" s="9">
        <v>34478</v>
      </c>
      <c r="E9" s="7">
        <f>D9*100/C9</f>
        <v>52.057193761229634</v>
      </c>
      <c r="F9" s="56">
        <v>59258</v>
      </c>
      <c r="G9" s="9">
        <v>31183</v>
      </c>
      <c r="H9" s="7">
        <f>G9*100/F9</f>
        <v>52.622430726652944</v>
      </c>
      <c r="I9" s="56">
        <f>SUM(F9-C9)</f>
        <v>-6973</v>
      </c>
      <c r="J9" s="325">
        <f>SUM(I9/C9*100)</f>
        <v>-10.528302456553577</v>
      </c>
      <c r="L9" s="379">
        <f>SUM(D8/C8)*100</f>
        <v>53.16272269733863</v>
      </c>
    </row>
    <row r="10" spans="2:12" ht="43.5" customHeight="1" x14ac:dyDescent="0.25">
      <c r="B10" s="12" t="s">
        <v>118</v>
      </c>
      <c r="C10" s="56">
        <v>3079</v>
      </c>
      <c r="D10" s="9">
        <v>1717</v>
      </c>
      <c r="E10" s="7">
        <f>D10*100/C10</f>
        <v>55.764858720363755</v>
      </c>
      <c r="F10" s="56">
        <v>2821</v>
      </c>
      <c r="G10" s="9">
        <v>1620</v>
      </c>
      <c r="H10" s="7">
        <f>G10*100/F10</f>
        <v>57.42644452321872</v>
      </c>
      <c r="I10" s="56">
        <f>SUM(F10-C10)</f>
        <v>-258</v>
      </c>
      <c r="J10" s="325">
        <f>SUM(I10/C10*100)</f>
        <v>-8.3793439428385845</v>
      </c>
    </row>
    <row r="11" spans="2:12" ht="27.75" customHeight="1" thickBot="1" x14ac:dyDescent="0.3">
      <c r="B11" s="93" t="s">
        <v>2</v>
      </c>
      <c r="C11" s="3">
        <v>11060</v>
      </c>
      <c r="D11" s="5">
        <v>6612</v>
      </c>
      <c r="E11" s="8">
        <f>D11*100/C11</f>
        <v>59.783001808318261</v>
      </c>
      <c r="F11" s="3">
        <v>9758</v>
      </c>
      <c r="G11" s="5">
        <v>6073</v>
      </c>
      <c r="H11" s="8">
        <f>G11*100/F11</f>
        <v>62.236113957778237</v>
      </c>
      <c r="I11" s="3">
        <f>SUM(F11-C11)</f>
        <v>-1302</v>
      </c>
      <c r="J11" s="327">
        <f>SUM(I11/C11*100)</f>
        <v>-11.772151898734178</v>
      </c>
    </row>
  </sheetData>
  <mergeCells count="9">
    <mergeCell ref="B5:B7"/>
    <mergeCell ref="F5:H5"/>
    <mergeCell ref="C5:E5"/>
    <mergeCell ref="I5:I7"/>
    <mergeCell ref="J5:J7"/>
    <mergeCell ref="F6:F7"/>
    <mergeCell ref="G6:H6"/>
    <mergeCell ref="C6:C7"/>
    <mergeCell ref="D6:E6"/>
  </mergeCells>
  <pageMargins left="1.299212598425197" right="0.70866141732283472" top="1.1417322834645669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2:M42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23.85546875" style="11" customWidth="1"/>
    <col min="3" max="3" width="14.85546875" style="11" customWidth="1"/>
    <col min="4" max="4" width="11.42578125" style="11" customWidth="1"/>
    <col min="5" max="5" width="13.85546875" style="11" customWidth="1"/>
    <col min="6" max="6" width="11.5703125" style="11" customWidth="1"/>
    <col min="7" max="7" width="4" style="11" customWidth="1"/>
    <col min="8" max="8" width="11.28515625" style="11" customWidth="1"/>
    <col min="9" max="9" width="12" style="11" customWidth="1"/>
    <col min="10" max="10" width="10.7109375" style="11" customWidth="1"/>
    <col min="11" max="11" width="11.85546875" style="11" customWidth="1"/>
    <col min="12" max="12" width="8" style="11" customWidth="1"/>
    <col min="13" max="16384" width="9.140625" style="11"/>
  </cols>
  <sheetData>
    <row r="2" spans="2:13" x14ac:dyDescent="0.25">
      <c r="B2" s="11" t="s">
        <v>263</v>
      </c>
    </row>
    <row r="3" spans="2:13" ht="15.75" thickBot="1" x14ac:dyDescent="0.3">
      <c r="B3" s="11" t="s">
        <v>267</v>
      </c>
    </row>
    <row r="4" spans="2:13" ht="20.25" customHeight="1" thickBot="1" x14ac:dyDescent="0.3">
      <c r="B4" s="385"/>
      <c r="C4" s="946" t="s">
        <v>412</v>
      </c>
      <c r="D4" s="892"/>
      <c r="E4" s="946" t="s">
        <v>474</v>
      </c>
      <c r="F4" s="892"/>
    </row>
    <row r="5" spans="2:13" ht="30.75" customHeight="1" thickBot="1" x14ac:dyDescent="0.3">
      <c r="B5" s="386" t="s">
        <v>3</v>
      </c>
      <c r="C5" s="388" t="s">
        <v>67</v>
      </c>
      <c r="D5" s="389" t="s">
        <v>484</v>
      </c>
      <c r="E5" s="388" t="s">
        <v>67</v>
      </c>
      <c r="F5" s="746" t="s">
        <v>484</v>
      </c>
    </row>
    <row r="6" spans="2:13" ht="18" customHeight="1" thickBot="1" x14ac:dyDescent="0.3">
      <c r="B6" s="131" t="s">
        <v>58</v>
      </c>
      <c r="C6" s="134">
        <f>SUM(C8:C13)</f>
        <v>80944</v>
      </c>
      <c r="D6" s="133">
        <f>SUM(D8:D13)</f>
        <v>100</v>
      </c>
      <c r="E6" s="134">
        <f>SUM(E8:E13)</f>
        <v>69016</v>
      </c>
      <c r="F6" s="133">
        <f>SUM(F8:F13)</f>
        <v>100</v>
      </c>
    </row>
    <row r="7" spans="2:13" ht="18" customHeight="1" thickBot="1" x14ac:dyDescent="0.3">
      <c r="B7" s="744" t="s">
        <v>68</v>
      </c>
      <c r="C7" s="317"/>
      <c r="D7" s="317"/>
      <c r="E7" s="317"/>
      <c r="F7" s="318"/>
      <c r="H7" s="148">
        <v>2022</v>
      </c>
      <c r="I7" s="148"/>
      <c r="J7" s="1045" t="s">
        <v>444</v>
      </c>
      <c r="L7" s="148"/>
    </row>
    <row r="8" spans="2:13" ht="21" customHeight="1" thickTop="1" x14ac:dyDescent="0.25">
      <c r="B8" s="135" t="s">
        <v>59</v>
      </c>
      <c r="C8" s="136">
        <v>10067</v>
      </c>
      <c r="D8" s="137">
        <f>SUM(C8/C6*100)</f>
        <v>12.436993476971733</v>
      </c>
      <c r="E8" s="138">
        <v>7826</v>
      </c>
      <c r="F8" s="1044">
        <f>SUM(E8/E6*100)</f>
        <v>11.33939955952243</v>
      </c>
      <c r="H8" s="511">
        <f>SUM(F8:F10)</f>
        <v>64.824098759707894</v>
      </c>
      <c r="I8" s="511" t="s">
        <v>442</v>
      </c>
      <c r="J8" s="379">
        <v>86.4</v>
      </c>
      <c r="K8" s="511">
        <f>SUM(H8-J8)</f>
        <v>-21.575901240292112</v>
      </c>
      <c r="L8" s="377">
        <f>SUM(F8:F9)</f>
        <v>38.937347861365481</v>
      </c>
      <c r="M8" s="377">
        <f>SUM(D8:D9)</f>
        <v>41.738732951176118</v>
      </c>
    </row>
    <row r="9" spans="2:13" ht="18" customHeight="1" x14ac:dyDescent="0.25">
      <c r="B9" s="12" t="s">
        <v>60</v>
      </c>
      <c r="C9" s="13">
        <v>23718</v>
      </c>
      <c r="D9" s="31">
        <f>SUM(C9/C6*100)</f>
        <v>29.301739474204386</v>
      </c>
      <c r="E9" s="94">
        <v>19047</v>
      </c>
      <c r="F9" s="1043">
        <f>SUM(E9/E6*100)</f>
        <v>27.597948301843051</v>
      </c>
      <c r="H9" s="511">
        <f>SUM(F11:F13)</f>
        <v>35.175901240292106</v>
      </c>
      <c r="I9" s="148" t="s">
        <v>443</v>
      </c>
      <c r="J9" s="379">
        <v>13.6</v>
      </c>
      <c r="K9" s="511">
        <f>SUM(H9-J9)</f>
        <v>21.575901240292104</v>
      </c>
    </row>
    <row r="10" spans="2:13" ht="15.75" customHeight="1" x14ac:dyDescent="0.25">
      <c r="B10" s="12" t="s">
        <v>61</v>
      </c>
      <c r="C10" s="13">
        <v>20194</v>
      </c>
      <c r="D10" s="31">
        <f>SUM(C10/C6*100)</f>
        <v>24.948112275153193</v>
      </c>
      <c r="E10" s="94">
        <v>17866</v>
      </c>
      <c r="F10" s="1043">
        <f>SUM(E10/E6*100)</f>
        <v>25.886750898342413</v>
      </c>
      <c r="H10" s="148"/>
      <c r="I10" s="148"/>
      <c r="J10" s="379">
        <f>SUM(J8:J9)</f>
        <v>100</v>
      </c>
      <c r="L10" s="156"/>
    </row>
    <row r="11" spans="2:13" x14ac:dyDescent="0.25">
      <c r="B11" s="12" t="s">
        <v>62</v>
      </c>
      <c r="C11" s="13">
        <v>14875</v>
      </c>
      <c r="D11" s="31">
        <f>SUM(C11/C6*100)</f>
        <v>18.376902549911051</v>
      </c>
      <c r="E11" s="94">
        <v>13257</v>
      </c>
      <c r="F11" s="31">
        <f>SUM(E11/E6*100)</f>
        <v>19.208589312623157</v>
      </c>
      <c r="H11" s="148"/>
      <c r="I11" s="148"/>
      <c r="J11" s="148"/>
    </row>
    <row r="12" spans="2:13" x14ac:dyDescent="0.25">
      <c r="B12" s="12" t="s">
        <v>63</v>
      </c>
      <c r="C12" s="13">
        <v>7784</v>
      </c>
      <c r="D12" s="31">
        <f>SUM(C12/C6*100)</f>
        <v>9.6165250049416873</v>
      </c>
      <c r="E12" s="94">
        <v>6911</v>
      </c>
      <c r="F12" s="31">
        <f>SUM(E12/E6*100)</f>
        <v>10.01362003013794</v>
      </c>
    </row>
    <row r="13" spans="2:13" ht="15.75" thickBot="1" x14ac:dyDescent="0.3">
      <c r="B13" s="93" t="s">
        <v>69</v>
      </c>
      <c r="C13" s="20">
        <v>4306</v>
      </c>
      <c r="D13" s="32">
        <f>SUM(C13/C6*100)</f>
        <v>5.3197272188179481</v>
      </c>
      <c r="E13" s="95">
        <v>4109</v>
      </c>
      <c r="F13" s="32">
        <f>SUM(E13/E6*100)</f>
        <v>5.9536918975310069</v>
      </c>
    </row>
    <row r="14" spans="2:13" ht="12" customHeight="1" x14ac:dyDescent="0.25"/>
    <row r="15" spans="2:13" x14ac:dyDescent="0.25">
      <c r="B15" s="11" t="s">
        <v>264</v>
      </c>
    </row>
    <row r="16" spans="2:13" ht="15.75" thickBot="1" x14ac:dyDescent="0.3">
      <c r="B16" s="11" t="s">
        <v>164</v>
      </c>
    </row>
    <row r="17" spans="2:9" ht="22.5" customHeight="1" thickBot="1" x14ac:dyDescent="0.3">
      <c r="B17" s="385"/>
      <c r="C17" s="946" t="s">
        <v>412</v>
      </c>
      <c r="D17" s="892"/>
      <c r="E17" s="946" t="s">
        <v>474</v>
      </c>
      <c r="F17" s="892"/>
    </row>
    <row r="18" spans="2:9" ht="34.5" customHeight="1" thickBot="1" x14ac:dyDescent="0.3">
      <c r="B18" s="386" t="s">
        <v>3</v>
      </c>
      <c r="C18" s="388" t="s">
        <v>67</v>
      </c>
      <c r="D18" s="389" t="s">
        <v>484</v>
      </c>
      <c r="E18" s="388" t="s">
        <v>67</v>
      </c>
      <c r="F18" s="746" t="s">
        <v>484</v>
      </c>
    </row>
    <row r="19" spans="2:9" ht="19.5" customHeight="1" thickBot="1" x14ac:dyDescent="0.3">
      <c r="B19" s="131" t="s">
        <v>58</v>
      </c>
      <c r="C19" s="134">
        <f>SUM(C21:C25)</f>
        <v>80944</v>
      </c>
      <c r="D19" s="133">
        <f>SUM(D21:D25)</f>
        <v>100</v>
      </c>
      <c r="E19" s="134">
        <f>SUM(E21:E25)</f>
        <v>69016</v>
      </c>
      <c r="F19" s="133">
        <f>SUM(F21:F25)</f>
        <v>100</v>
      </c>
    </row>
    <row r="20" spans="2:9" ht="18.75" customHeight="1" thickBot="1" x14ac:dyDescent="0.3">
      <c r="B20" s="947" t="s">
        <v>70</v>
      </c>
      <c r="C20" s="948"/>
      <c r="D20" s="948"/>
      <c r="E20" s="948"/>
      <c r="F20" s="949"/>
    </row>
    <row r="21" spans="2:9" ht="21.75" customHeight="1" thickTop="1" x14ac:dyDescent="0.25">
      <c r="B21" s="135" t="s">
        <v>71</v>
      </c>
      <c r="C21" s="138">
        <v>12952</v>
      </c>
      <c r="D21" s="137">
        <f>SUM(C21/C19*100)</f>
        <v>16.001186005139356</v>
      </c>
      <c r="E21" s="138">
        <v>10910</v>
      </c>
      <c r="F21" s="137">
        <f>SUM(E21/E19*100)</f>
        <v>15.807928596267532</v>
      </c>
      <c r="H21" s="511">
        <f>SUM(D21)-F21</f>
        <v>0.19325740887182441</v>
      </c>
    </row>
    <row r="22" spans="2:9" ht="30" x14ac:dyDescent="0.25">
      <c r="B22" s="12" t="s">
        <v>72</v>
      </c>
      <c r="C22" s="94">
        <v>21487</v>
      </c>
      <c r="D22" s="31">
        <f>SUM(C22/C19*100)</f>
        <v>26.545512947222772</v>
      </c>
      <c r="E22" s="94">
        <v>18286</v>
      </c>
      <c r="F22" s="1043">
        <f>SUM(E22/E19*100)</f>
        <v>26.495305436420541</v>
      </c>
    </row>
    <row r="23" spans="2:9" ht="28.5" customHeight="1" x14ac:dyDescent="0.25">
      <c r="B23" s="12" t="s">
        <v>73</v>
      </c>
      <c r="C23" s="94">
        <v>9640</v>
      </c>
      <c r="D23" s="31">
        <f>SUM(C23/C19*100)</f>
        <v>11.909468274362522</v>
      </c>
      <c r="E23" s="94">
        <v>8182</v>
      </c>
      <c r="F23" s="31">
        <f>SUM(E23/E19*100)</f>
        <v>11.855221977512461</v>
      </c>
    </row>
    <row r="24" spans="2:9" ht="21.75" customHeight="1" x14ac:dyDescent="0.25">
      <c r="B24" s="12" t="s">
        <v>74</v>
      </c>
      <c r="C24" s="94">
        <v>21608</v>
      </c>
      <c r="D24" s="31">
        <f>SUM(C24/C19*100)</f>
        <v>26.694999011662386</v>
      </c>
      <c r="E24" s="94">
        <v>18293</v>
      </c>
      <c r="F24" s="1043">
        <f>SUM(E24/E19*100)</f>
        <v>26.505448012055176</v>
      </c>
      <c r="H24" s="511">
        <f>SUM(F22,F24)</f>
        <v>53.00075344847572</v>
      </c>
      <c r="I24" s="377"/>
    </row>
    <row r="25" spans="2:9" ht="22.5" customHeight="1" thickBot="1" x14ac:dyDescent="0.3">
      <c r="B25" s="93" t="s">
        <v>75</v>
      </c>
      <c r="C25" s="95">
        <v>15257</v>
      </c>
      <c r="D25" s="32">
        <f>SUM(C25/C19*100)</f>
        <v>18.848833761612969</v>
      </c>
      <c r="E25" s="95">
        <v>13345</v>
      </c>
      <c r="F25" s="32">
        <f>SUM(E25/E19*100)</f>
        <v>19.336095977744293</v>
      </c>
      <c r="G25" s="377"/>
    </row>
    <row r="26" spans="2:9" ht="12" customHeight="1" x14ac:dyDescent="0.25"/>
    <row r="27" spans="2:9" x14ac:dyDescent="0.25">
      <c r="B27" s="11" t="s">
        <v>265</v>
      </c>
    </row>
    <row r="28" spans="2:9" ht="15.75" thickBot="1" x14ac:dyDescent="0.3">
      <c r="B28" s="11" t="s">
        <v>267</v>
      </c>
    </row>
    <row r="29" spans="2:9" ht="22.5" customHeight="1" thickBot="1" x14ac:dyDescent="0.3">
      <c r="B29" s="385"/>
      <c r="C29" s="946" t="s">
        <v>412</v>
      </c>
      <c r="D29" s="892"/>
      <c r="E29" s="946" t="s">
        <v>474</v>
      </c>
      <c r="F29" s="892"/>
    </row>
    <row r="30" spans="2:9" ht="28.5" customHeight="1" thickBot="1" x14ac:dyDescent="0.3">
      <c r="B30" s="386" t="s">
        <v>3</v>
      </c>
      <c r="C30" s="388" t="s">
        <v>67</v>
      </c>
      <c r="D30" s="389" t="s">
        <v>484</v>
      </c>
      <c r="E30" s="388" t="s">
        <v>67</v>
      </c>
      <c r="F30" s="746" t="s">
        <v>484</v>
      </c>
    </row>
    <row r="31" spans="2:9" ht="21" customHeight="1" thickBot="1" x14ac:dyDescent="0.3">
      <c r="B31" s="131" t="s">
        <v>58</v>
      </c>
      <c r="C31" s="134">
        <f>SUM(C33:C39)</f>
        <v>80944</v>
      </c>
      <c r="D31" s="133">
        <f>SUM(D33:D39)</f>
        <v>100</v>
      </c>
      <c r="E31" s="134">
        <f>SUM(E33:E39)</f>
        <v>69016</v>
      </c>
      <c r="F31" s="133">
        <f>SUM(F33:F39)</f>
        <v>100</v>
      </c>
    </row>
    <row r="32" spans="2:9" ht="20.25" customHeight="1" thickBot="1" x14ac:dyDescent="0.3">
      <c r="B32" s="745" t="s">
        <v>165</v>
      </c>
      <c r="C32" s="139"/>
      <c r="D32" s="139"/>
      <c r="E32" s="139"/>
      <c r="F32" s="140"/>
    </row>
    <row r="33" spans="2:10" ht="15.75" customHeight="1" thickTop="1" x14ac:dyDescent="0.25">
      <c r="B33" s="135" t="s">
        <v>64</v>
      </c>
      <c r="C33" s="138">
        <v>16491</v>
      </c>
      <c r="D33" s="137">
        <f>SUM(C33/C31*100)</f>
        <v>20.373344534492983</v>
      </c>
      <c r="E33" s="138">
        <v>14109</v>
      </c>
      <c r="F33" s="137">
        <f>SUM(E33/E31*100)</f>
        <v>20.443085661295932</v>
      </c>
    </row>
    <row r="34" spans="2:10" x14ac:dyDescent="0.25">
      <c r="B34" s="12" t="s">
        <v>76</v>
      </c>
      <c r="C34" s="94">
        <v>21463</v>
      </c>
      <c r="D34" s="31">
        <f>SUM(C34/C31*100)</f>
        <v>26.515862818738885</v>
      </c>
      <c r="E34" s="94">
        <v>17881</v>
      </c>
      <c r="F34" s="31">
        <f>SUM(E34/E31*100)</f>
        <v>25.908484988988061</v>
      </c>
      <c r="H34" s="712">
        <f>SUM(F33:F34)</f>
        <v>46.351570650283989</v>
      </c>
      <c r="I34" s="377">
        <f>SUM(D33:D34)</f>
        <v>46.889207353231868</v>
      </c>
      <c r="J34" s="377">
        <f>SUM(F33:F34)</f>
        <v>46.351570650283989</v>
      </c>
    </row>
    <row r="35" spans="2:10" x14ac:dyDescent="0.25">
      <c r="B35" s="12" t="s">
        <v>77</v>
      </c>
      <c r="C35" s="94">
        <v>12568</v>
      </c>
      <c r="D35" s="31">
        <f>SUM(C35/C31*100)</f>
        <v>15.526783949397114</v>
      </c>
      <c r="E35" s="94">
        <v>11130</v>
      </c>
      <c r="F35" s="31">
        <f>SUM(E35/E31*100)</f>
        <v>16.126695259070363</v>
      </c>
      <c r="H35" s="511">
        <f>SUM(F39)+F33+F34</f>
        <v>60.4903210849658</v>
      </c>
    </row>
    <row r="36" spans="2:10" x14ac:dyDescent="0.25">
      <c r="B36" s="12" t="s">
        <v>78</v>
      </c>
      <c r="C36" s="94">
        <v>11222</v>
      </c>
      <c r="D36" s="31">
        <f>SUM(C36/C31*100)</f>
        <v>13.863905910258945</v>
      </c>
      <c r="E36" s="94">
        <v>9810</v>
      </c>
      <c r="F36" s="31">
        <f>SUM(E36/E31*100)</f>
        <v>14.214095282253393</v>
      </c>
      <c r="H36" s="511">
        <f>SUM(D39)+D33+D34</f>
        <v>61.290521842261313</v>
      </c>
    </row>
    <row r="37" spans="2:10" x14ac:dyDescent="0.25">
      <c r="B37" s="141" t="s">
        <v>79</v>
      </c>
      <c r="C37" s="142">
        <v>5443</v>
      </c>
      <c r="D37" s="35">
        <f>SUM(C37/C31*100)</f>
        <v>6.7244020557422415</v>
      </c>
      <c r="E37" s="142">
        <v>4649</v>
      </c>
      <c r="F37" s="35">
        <f>SUM(E37/E31*100)</f>
        <v>6.7361191607743134</v>
      </c>
    </row>
    <row r="38" spans="2:10" x14ac:dyDescent="0.25">
      <c r="B38" s="141" t="s">
        <v>66</v>
      </c>
      <c r="C38" s="142">
        <v>2100</v>
      </c>
      <c r="D38" s="35">
        <f>SUM(C38/C31*100)</f>
        <v>2.5943862423403834</v>
      </c>
      <c r="E38" s="142">
        <v>1679</v>
      </c>
      <c r="F38" s="35">
        <f>SUM(E38/E31*100)</f>
        <v>2.4327692129361309</v>
      </c>
    </row>
    <row r="39" spans="2:10" ht="15.75" thickBot="1" x14ac:dyDescent="0.3">
      <c r="B39" s="93" t="s">
        <v>65</v>
      </c>
      <c r="C39" s="95">
        <v>11657</v>
      </c>
      <c r="D39" s="32">
        <f>SUM(C39/C31*100)</f>
        <v>14.401314489029451</v>
      </c>
      <c r="E39" s="95">
        <v>9758</v>
      </c>
      <c r="F39" s="32">
        <f>SUM(E39/E31*100)</f>
        <v>14.138750434681812</v>
      </c>
    </row>
    <row r="42" spans="2:10" x14ac:dyDescent="0.25">
      <c r="C42" s="54"/>
      <c r="D42" s="377"/>
      <c r="F42" s="377"/>
    </row>
  </sheetData>
  <mergeCells count="7">
    <mergeCell ref="C4:D4"/>
    <mergeCell ref="E4:F4"/>
    <mergeCell ref="C17:D17"/>
    <mergeCell ref="E17:F17"/>
    <mergeCell ref="C29:D29"/>
    <mergeCell ref="E29:F29"/>
    <mergeCell ref="B20:F20"/>
  </mergeCells>
  <pageMargins left="1.4960629921259843" right="0" top="0.6692913385826772" bottom="0" header="0" footer="0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2:Q30"/>
  <sheetViews>
    <sheetView workbookViewId="0">
      <selection activeCell="B1" sqref="B1"/>
    </sheetView>
  </sheetViews>
  <sheetFormatPr defaultColWidth="9.140625" defaultRowHeight="15" x14ac:dyDescent="0.25"/>
  <cols>
    <col min="1" max="1" width="3.7109375" style="11" customWidth="1"/>
    <col min="2" max="2" width="21.5703125" style="11" customWidth="1"/>
    <col min="3" max="4" width="9.140625" style="11" customWidth="1"/>
    <col min="5" max="6" width="9" style="11" customWidth="1"/>
    <col min="7" max="8" width="8.85546875" style="11" customWidth="1"/>
    <col min="9" max="9" width="13.140625" style="11" customWidth="1"/>
    <col min="10" max="10" width="13.7109375" style="11" customWidth="1"/>
    <col min="11" max="11" width="3" style="11" customWidth="1"/>
    <col min="12" max="12" width="10.85546875" style="11" customWidth="1"/>
    <col min="13" max="13" width="8.85546875" style="11" customWidth="1"/>
    <col min="14" max="14" width="5" style="147" customWidth="1"/>
    <col min="15" max="16384" width="9.140625" style="11"/>
  </cols>
  <sheetData>
    <row r="2" spans="2:17" x14ac:dyDescent="0.25">
      <c r="B2" s="11" t="s">
        <v>426</v>
      </c>
    </row>
    <row r="3" spans="2:17" x14ac:dyDescent="0.25">
      <c r="B3" s="11" t="s">
        <v>373</v>
      </c>
    </row>
    <row r="4" spans="2:17" ht="12.75" customHeight="1" thickBot="1" x14ac:dyDescent="0.3">
      <c r="J4" s="156"/>
    </row>
    <row r="5" spans="2:17" ht="24" customHeight="1" x14ac:dyDescent="0.25">
      <c r="B5" s="954" t="s">
        <v>161</v>
      </c>
      <c r="C5" s="950" t="s">
        <v>412</v>
      </c>
      <c r="D5" s="951"/>
      <c r="E5" s="950" t="s">
        <v>473</v>
      </c>
      <c r="F5" s="951"/>
      <c r="G5" s="952" t="s">
        <v>474</v>
      </c>
      <c r="H5" s="953"/>
      <c r="I5" s="554" t="s">
        <v>253</v>
      </c>
      <c r="J5" s="556"/>
    </row>
    <row r="6" spans="2:17" ht="37.5" customHeight="1" thickBot="1" x14ac:dyDescent="0.3">
      <c r="B6" s="955"/>
      <c r="C6" s="552" t="s">
        <v>4</v>
      </c>
      <c r="D6" s="553" t="s">
        <v>103</v>
      </c>
      <c r="E6" s="552" t="s">
        <v>4</v>
      </c>
      <c r="F6" s="553" t="s">
        <v>103</v>
      </c>
      <c r="G6" s="331" t="s">
        <v>4</v>
      </c>
      <c r="H6" s="332" t="s">
        <v>103</v>
      </c>
      <c r="I6" s="555" t="s">
        <v>167</v>
      </c>
      <c r="J6" s="557" t="s">
        <v>496</v>
      </c>
    </row>
    <row r="7" spans="2:17" ht="27.75" customHeight="1" thickBot="1" x14ac:dyDescent="0.3">
      <c r="B7" s="178" t="s">
        <v>22</v>
      </c>
      <c r="C7" s="49">
        <f t="shared" ref="C7:H7" si="0">SUM(C10:C30)</f>
        <v>49815</v>
      </c>
      <c r="D7" s="51">
        <f t="shared" si="0"/>
        <v>26969</v>
      </c>
      <c r="E7" s="49">
        <f t="shared" si="0"/>
        <v>48703</v>
      </c>
      <c r="F7" s="51">
        <f t="shared" si="0"/>
        <v>26187</v>
      </c>
      <c r="G7" s="558">
        <f>SUM(G10:G30)</f>
        <v>42985</v>
      </c>
      <c r="H7" s="559">
        <f t="shared" si="0"/>
        <v>23469</v>
      </c>
      <c r="I7" s="181">
        <f>SUM(G7-E7)</f>
        <v>-5718</v>
      </c>
      <c r="J7" s="180">
        <f>I7/E7*100</f>
        <v>-11.740549863458103</v>
      </c>
      <c r="L7" s="379">
        <f>SUM(G7/T.I!F8*100)</f>
        <v>62.282659093543522</v>
      </c>
      <c r="M7" s="383"/>
    </row>
    <row r="8" spans="2:17" ht="36.75" thickBot="1" x14ac:dyDescent="0.3">
      <c r="B8" s="422" t="s">
        <v>166</v>
      </c>
      <c r="C8" s="423">
        <v>7720</v>
      </c>
      <c r="D8" s="424">
        <v>4357</v>
      </c>
      <c r="E8" s="423">
        <v>7386</v>
      </c>
      <c r="F8" s="424">
        <v>4148</v>
      </c>
      <c r="G8" s="560">
        <v>6587</v>
      </c>
      <c r="H8" s="561">
        <v>3719</v>
      </c>
      <c r="I8" s="425">
        <f t="shared" ref="I8:I30" si="1">SUM(G8-E8)</f>
        <v>-799</v>
      </c>
      <c r="J8" s="426">
        <f t="shared" ref="J8:J30" si="2">I8/E8*100</f>
        <v>-10.817763336041159</v>
      </c>
      <c r="L8" s="510" t="s">
        <v>382</v>
      </c>
      <c r="M8" s="510" t="s">
        <v>383</v>
      </c>
      <c r="O8" s="510" t="s">
        <v>382</v>
      </c>
      <c r="P8" s="510" t="s">
        <v>383</v>
      </c>
      <c r="Q8" s="147"/>
    </row>
    <row r="9" spans="2:17" ht="27.75" customHeight="1" thickBot="1" x14ac:dyDescent="0.3">
      <c r="B9" s="195" t="s">
        <v>168</v>
      </c>
      <c r="C9" s="333"/>
      <c r="D9" s="197"/>
      <c r="E9" s="333"/>
      <c r="F9" s="197"/>
      <c r="G9" s="196"/>
      <c r="H9" s="196"/>
      <c r="I9" s="197"/>
      <c r="J9" s="473"/>
      <c r="L9" s="512" t="s">
        <v>102</v>
      </c>
      <c r="M9" s="512" t="s">
        <v>102</v>
      </c>
      <c r="O9" s="512" t="s">
        <v>102</v>
      </c>
      <c r="P9" s="512" t="s">
        <v>102</v>
      </c>
      <c r="Q9" s="147"/>
    </row>
    <row r="10" spans="2:17" ht="15" customHeight="1" x14ac:dyDescent="0.25">
      <c r="B10" s="314" t="s">
        <v>23</v>
      </c>
      <c r="C10" s="42">
        <v>712</v>
      </c>
      <c r="D10" s="334">
        <v>370</v>
      </c>
      <c r="E10" s="42">
        <v>770</v>
      </c>
      <c r="F10" s="334">
        <v>414</v>
      </c>
      <c r="G10" s="562">
        <v>652</v>
      </c>
      <c r="H10" s="563">
        <v>1938</v>
      </c>
      <c r="I10" s="337">
        <f t="shared" si="1"/>
        <v>-118</v>
      </c>
      <c r="J10" s="185">
        <f t="shared" si="2"/>
        <v>-15.324675324675324</v>
      </c>
      <c r="L10" s="206">
        <f>RANK(G10,G10:G30,0)</f>
        <v>21</v>
      </c>
      <c r="M10" s="206">
        <f>RANK(G10,G10:G30,1)</f>
        <v>1</v>
      </c>
      <c r="N10" s="147">
        <v>1</v>
      </c>
      <c r="O10" s="206">
        <f>RANK(J10,J10:J30,0)</f>
        <v>17</v>
      </c>
      <c r="P10" s="206">
        <f>RANK(J10,J10:J30,1)</f>
        <v>5</v>
      </c>
      <c r="Q10" s="147">
        <v>1</v>
      </c>
    </row>
    <row r="11" spans="2:17" ht="16.5" customHeight="1" x14ac:dyDescent="0.25">
      <c r="B11" s="202" t="s">
        <v>24</v>
      </c>
      <c r="C11" s="13">
        <v>3723</v>
      </c>
      <c r="D11" s="335">
        <v>2043</v>
      </c>
      <c r="E11" s="13">
        <v>3945</v>
      </c>
      <c r="F11" s="335">
        <v>2053</v>
      </c>
      <c r="G11" s="564">
        <v>3596</v>
      </c>
      <c r="H11" s="565">
        <v>926</v>
      </c>
      <c r="I11" s="338">
        <f t="shared" si="1"/>
        <v>-349</v>
      </c>
      <c r="J11" s="323">
        <f t="shared" si="2"/>
        <v>-8.8466413181242078</v>
      </c>
      <c r="L11" s="9">
        <f>RANK(G11,G10:G30,0)</f>
        <v>2</v>
      </c>
      <c r="M11" s="9">
        <f>RANK(G11,G10:G30,1)</f>
        <v>20</v>
      </c>
      <c r="N11" s="147">
        <v>2</v>
      </c>
      <c r="O11" s="9">
        <f>RANK(J11,J10:J30,0)</f>
        <v>7</v>
      </c>
      <c r="P11" s="9">
        <f>RANK(J11,J10:J30,1)</f>
        <v>15</v>
      </c>
      <c r="Q11" s="147">
        <v>2</v>
      </c>
    </row>
    <row r="12" spans="2:17" ht="18" customHeight="1" x14ac:dyDescent="0.25">
      <c r="B12" s="202" t="s">
        <v>25</v>
      </c>
      <c r="C12" s="13">
        <v>1797</v>
      </c>
      <c r="D12" s="335">
        <v>1135</v>
      </c>
      <c r="E12" s="13">
        <v>1594</v>
      </c>
      <c r="F12" s="335">
        <v>1052</v>
      </c>
      <c r="G12" s="564">
        <v>1408</v>
      </c>
      <c r="H12" s="565">
        <v>1641</v>
      </c>
      <c r="I12" s="338">
        <f t="shared" si="1"/>
        <v>-186</v>
      </c>
      <c r="J12" s="323">
        <f t="shared" si="2"/>
        <v>-11.668757841907151</v>
      </c>
      <c r="L12" s="9">
        <f>RANK(G12,G10:G30,0)</f>
        <v>13</v>
      </c>
      <c r="M12" s="9">
        <f>RANK(G12,G10:G30,1)</f>
        <v>9</v>
      </c>
      <c r="N12" s="147">
        <v>3</v>
      </c>
      <c r="O12" s="9">
        <f>RANK(J12,J10:J30,0)</f>
        <v>11</v>
      </c>
      <c r="P12" s="9">
        <f>RANK(J12,J10:J30,1)</f>
        <v>11</v>
      </c>
      <c r="Q12" s="147">
        <v>3</v>
      </c>
    </row>
    <row r="13" spans="2:17" x14ac:dyDescent="0.25">
      <c r="B13" s="202" t="s">
        <v>26</v>
      </c>
      <c r="C13" s="13">
        <v>3616</v>
      </c>
      <c r="D13" s="335">
        <v>1980</v>
      </c>
      <c r="E13" s="13">
        <v>3387</v>
      </c>
      <c r="F13" s="335">
        <v>1874</v>
      </c>
      <c r="G13" s="564">
        <v>2891</v>
      </c>
      <c r="H13" s="565">
        <v>2003</v>
      </c>
      <c r="I13" s="338">
        <f t="shared" si="1"/>
        <v>-496</v>
      </c>
      <c r="J13" s="323">
        <f t="shared" si="2"/>
        <v>-14.644227930321819</v>
      </c>
      <c r="L13" s="9">
        <f>RANK(G13,G10:G30,0)</f>
        <v>5</v>
      </c>
      <c r="M13" s="9">
        <f>RANK(G13,G10:G30,1)</f>
        <v>17</v>
      </c>
      <c r="N13" s="147">
        <v>4</v>
      </c>
      <c r="O13" s="9">
        <f>RANK(J13,J10:J30,0)</f>
        <v>16</v>
      </c>
      <c r="P13" s="9">
        <f>RANK(J13,J10:J30,1)</f>
        <v>6</v>
      </c>
      <c r="Q13" s="147">
        <v>4</v>
      </c>
    </row>
    <row r="14" spans="2:17" x14ac:dyDescent="0.25">
      <c r="B14" s="202" t="s">
        <v>27</v>
      </c>
      <c r="C14" s="13">
        <v>3870</v>
      </c>
      <c r="D14" s="335">
        <v>2241</v>
      </c>
      <c r="E14" s="13">
        <v>3829</v>
      </c>
      <c r="F14" s="335">
        <v>2274</v>
      </c>
      <c r="G14" s="564">
        <v>3326</v>
      </c>
      <c r="H14" s="565">
        <v>760</v>
      </c>
      <c r="I14" s="338">
        <f t="shared" si="1"/>
        <v>-503</v>
      </c>
      <c r="J14" s="323">
        <f t="shared" si="2"/>
        <v>-13.136589187777487</v>
      </c>
      <c r="L14" s="9">
        <f>RANK(G14,G10:G30,0)</f>
        <v>3</v>
      </c>
      <c r="M14" s="9">
        <f>RANK(G14,G10:G30,1)</f>
        <v>19</v>
      </c>
      <c r="N14" s="147">
        <v>5</v>
      </c>
      <c r="O14" s="9">
        <f>RANK(J14,J10:J30,0)</f>
        <v>14</v>
      </c>
      <c r="P14" s="9">
        <f>RANK(J14,J10:J30,1)</f>
        <v>8</v>
      </c>
      <c r="Q14" s="147">
        <v>5</v>
      </c>
    </row>
    <row r="15" spans="2:17" ht="15.75" customHeight="1" x14ac:dyDescent="0.25">
      <c r="B15" s="202" t="s">
        <v>28</v>
      </c>
      <c r="C15" s="13">
        <v>1613</v>
      </c>
      <c r="D15" s="335">
        <v>883</v>
      </c>
      <c r="E15" s="13">
        <v>1533</v>
      </c>
      <c r="F15" s="335">
        <v>827</v>
      </c>
      <c r="G15" s="564">
        <v>1405</v>
      </c>
      <c r="H15" s="565">
        <v>939</v>
      </c>
      <c r="I15" s="338">
        <f t="shared" si="1"/>
        <v>-128</v>
      </c>
      <c r="J15" s="323">
        <f t="shared" si="2"/>
        <v>-8.3496412263535547</v>
      </c>
      <c r="L15" s="9">
        <f>RANK(G15,G10:G30,0)</f>
        <v>14</v>
      </c>
      <c r="M15" s="9">
        <f>RANK(G15,G10:G30,1)</f>
        <v>8</v>
      </c>
      <c r="N15" s="147">
        <v>6</v>
      </c>
      <c r="O15" s="9">
        <f>RANK(J15,J10:J30,0)</f>
        <v>5</v>
      </c>
      <c r="P15" s="9">
        <f>RANK(J15,J10:J30,1)</f>
        <v>17</v>
      </c>
      <c r="Q15" s="147">
        <v>6</v>
      </c>
    </row>
    <row r="16" spans="2:17" x14ac:dyDescent="0.25">
      <c r="B16" s="202" t="s">
        <v>29</v>
      </c>
      <c r="C16" s="13">
        <v>2023</v>
      </c>
      <c r="D16" s="335">
        <v>1172</v>
      </c>
      <c r="E16" s="13">
        <v>1794</v>
      </c>
      <c r="F16" s="335">
        <v>1037</v>
      </c>
      <c r="G16" s="564">
        <v>1648</v>
      </c>
      <c r="H16" s="565">
        <v>602</v>
      </c>
      <c r="I16" s="338">
        <f>SUM(G16-E16)</f>
        <v>-146</v>
      </c>
      <c r="J16" s="323">
        <f t="shared" si="2"/>
        <v>-8.1382385730211819</v>
      </c>
      <c r="L16" s="9">
        <f>RANK(G16,G10:G30,0)</f>
        <v>12</v>
      </c>
      <c r="M16" s="9">
        <f>RANK(G16,G10:G30,1)</f>
        <v>10</v>
      </c>
      <c r="N16" s="147">
        <v>7</v>
      </c>
      <c r="O16" s="9">
        <f>RANK(J16,J10:J30,0)</f>
        <v>4</v>
      </c>
      <c r="P16" s="9">
        <f>RANK(J16,J10:J30,1)</f>
        <v>18</v>
      </c>
      <c r="Q16" s="147">
        <v>7</v>
      </c>
    </row>
    <row r="17" spans="2:17" x14ac:dyDescent="0.25">
      <c r="B17" s="202" t="s">
        <v>30</v>
      </c>
      <c r="C17" s="13">
        <v>1311</v>
      </c>
      <c r="D17" s="335">
        <v>607</v>
      </c>
      <c r="E17" s="13">
        <v>1448</v>
      </c>
      <c r="F17" s="335">
        <v>687</v>
      </c>
      <c r="G17" s="564">
        <v>1285</v>
      </c>
      <c r="H17" s="565">
        <v>1324</v>
      </c>
      <c r="I17" s="338">
        <f>SUM(G17-E17)</f>
        <v>-163</v>
      </c>
      <c r="J17" s="323">
        <f t="shared" si="2"/>
        <v>-11.256906077348066</v>
      </c>
      <c r="L17" s="9">
        <f>RANK(G17,G10:G30,0)</f>
        <v>16</v>
      </c>
      <c r="M17" s="9">
        <f>RANK(G17,G10:G30,1)</f>
        <v>6</v>
      </c>
      <c r="N17" s="147">
        <v>8</v>
      </c>
      <c r="O17" s="9">
        <f>RANK(J17,J10:J30,0)</f>
        <v>9</v>
      </c>
      <c r="P17" s="9">
        <f>RANK(J17,J10:J30,1)</f>
        <v>13</v>
      </c>
      <c r="Q17" s="147">
        <v>8</v>
      </c>
    </row>
    <row r="18" spans="2:17" x14ac:dyDescent="0.25">
      <c r="B18" s="202" t="s">
        <v>31</v>
      </c>
      <c r="C18" s="13">
        <v>2839</v>
      </c>
      <c r="D18" s="335">
        <v>1483</v>
      </c>
      <c r="E18" s="13">
        <v>2816</v>
      </c>
      <c r="F18" s="335">
        <v>1489</v>
      </c>
      <c r="G18" s="564">
        <v>2494</v>
      </c>
      <c r="H18" s="565">
        <v>516</v>
      </c>
      <c r="I18" s="338">
        <f t="shared" si="1"/>
        <v>-322</v>
      </c>
      <c r="J18" s="323">
        <f t="shared" si="2"/>
        <v>-11.434659090909092</v>
      </c>
      <c r="L18" s="9">
        <f>RANK(G18,G10:G30,0)</f>
        <v>8</v>
      </c>
      <c r="M18" s="9">
        <f>RANK(G18,G10:G30,1)</f>
        <v>14</v>
      </c>
      <c r="N18" s="147">
        <v>9</v>
      </c>
      <c r="O18" s="9">
        <f>RANK(J18,J10:J30,0)</f>
        <v>10</v>
      </c>
      <c r="P18" s="9">
        <f>RANK(J18,J10:J30,1)</f>
        <v>12</v>
      </c>
      <c r="Q18" s="147">
        <v>9</v>
      </c>
    </row>
    <row r="19" spans="2:17" x14ac:dyDescent="0.25">
      <c r="B19" s="202" t="s">
        <v>32</v>
      </c>
      <c r="C19" s="13">
        <v>1261</v>
      </c>
      <c r="D19" s="335">
        <v>621</v>
      </c>
      <c r="E19" s="13">
        <v>1340</v>
      </c>
      <c r="F19" s="335">
        <v>647</v>
      </c>
      <c r="G19" s="564">
        <v>1081</v>
      </c>
      <c r="H19" s="565">
        <v>1181</v>
      </c>
      <c r="I19" s="338">
        <f t="shared" si="1"/>
        <v>-259</v>
      </c>
      <c r="J19" s="323">
        <f t="shared" si="2"/>
        <v>-19.328358208955223</v>
      </c>
      <c r="L19" s="9">
        <f>RANK(G19,G10:G30,0)</f>
        <v>19</v>
      </c>
      <c r="M19" s="9">
        <f>RANK(G19,G10:G30,1)</f>
        <v>3</v>
      </c>
      <c r="N19" s="147">
        <v>10</v>
      </c>
      <c r="O19" s="9">
        <f>RANK(J19,J10:J30,0)</f>
        <v>21</v>
      </c>
      <c r="P19" s="9">
        <f>RANK(J19,J10:J30,1)</f>
        <v>1</v>
      </c>
      <c r="Q19" s="147">
        <v>10</v>
      </c>
    </row>
    <row r="20" spans="2:17" x14ac:dyDescent="0.25">
      <c r="B20" s="202" t="s">
        <v>33</v>
      </c>
      <c r="C20" s="13">
        <v>2711</v>
      </c>
      <c r="D20" s="335">
        <v>1347</v>
      </c>
      <c r="E20" s="13">
        <v>2668</v>
      </c>
      <c r="F20" s="335">
        <v>1318</v>
      </c>
      <c r="G20" s="564">
        <v>2246</v>
      </c>
      <c r="H20" s="565">
        <v>659</v>
      </c>
      <c r="I20" s="338">
        <f t="shared" si="1"/>
        <v>-422</v>
      </c>
      <c r="J20" s="323">
        <f t="shared" si="2"/>
        <v>-15.817091454272864</v>
      </c>
      <c r="L20" s="9">
        <f>RANK(G20,G10:G30,0)</f>
        <v>9</v>
      </c>
      <c r="M20" s="9">
        <f>RANK(G20,G10:G30,1)</f>
        <v>13</v>
      </c>
      <c r="N20" s="147">
        <v>11</v>
      </c>
      <c r="O20" s="9">
        <f>RANK(J20,J10:J30,0)</f>
        <v>18</v>
      </c>
      <c r="P20" s="9">
        <f>RANK(J20,J10:J30,1)</f>
        <v>4</v>
      </c>
      <c r="Q20" s="147">
        <v>11</v>
      </c>
    </row>
    <row r="21" spans="2:17" x14ac:dyDescent="0.25">
      <c r="B21" s="202" t="s">
        <v>34</v>
      </c>
      <c r="C21" s="13">
        <v>1564</v>
      </c>
      <c r="D21" s="335">
        <v>889</v>
      </c>
      <c r="E21" s="13">
        <v>1443</v>
      </c>
      <c r="F21" s="335">
        <v>795</v>
      </c>
      <c r="G21" s="564">
        <v>1205</v>
      </c>
      <c r="H21" s="565">
        <v>1040</v>
      </c>
      <c r="I21" s="338">
        <f t="shared" si="1"/>
        <v>-238</v>
      </c>
      <c r="J21" s="323">
        <f t="shared" si="2"/>
        <v>-16.493416493416493</v>
      </c>
      <c r="L21" s="9">
        <f>RANK(G21,G10:G30,0)</f>
        <v>17</v>
      </c>
      <c r="M21" s="9">
        <f>RANK(G21,G10:G30,1)</f>
        <v>5</v>
      </c>
      <c r="N21" s="147">
        <v>12</v>
      </c>
      <c r="O21" s="9">
        <f>RANK(J21,J10:J30,0)</f>
        <v>19</v>
      </c>
      <c r="P21" s="9">
        <f>RANK(J21,J10:J30,1)</f>
        <v>3</v>
      </c>
      <c r="Q21" s="147">
        <v>12</v>
      </c>
    </row>
    <row r="22" spans="2:17" x14ac:dyDescent="0.25">
      <c r="B22" s="202" t="s">
        <v>35</v>
      </c>
      <c r="C22" s="13">
        <v>2272</v>
      </c>
      <c r="D22" s="335">
        <v>1157</v>
      </c>
      <c r="E22" s="13">
        <v>2154</v>
      </c>
      <c r="F22" s="335">
        <v>1097</v>
      </c>
      <c r="G22" s="564">
        <v>2028</v>
      </c>
      <c r="H22" s="565">
        <v>1636</v>
      </c>
      <c r="I22" s="338">
        <f t="shared" si="1"/>
        <v>-126</v>
      </c>
      <c r="J22" s="323">
        <f t="shared" si="2"/>
        <v>-5.8495821727019495</v>
      </c>
      <c r="L22" s="9">
        <f>RANK(G22,G10:G30,0)</f>
        <v>10</v>
      </c>
      <c r="M22" s="9">
        <f>RANK(G22,G10:G30,1)</f>
        <v>12</v>
      </c>
      <c r="N22" s="147">
        <v>13</v>
      </c>
      <c r="O22" s="9">
        <f>RANK(J22,J10:J30,0)</f>
        <v>2</v>
      </c>
      <c r="P22" s="9">
        <f>RANK(J22,J10:J30,1)</f>
        <v>20</v>
      </c>
      <c r="Q22" s="147">
        <v>13</v>
      </c>
    </row>
    <row r="23" spans="2:17" x14ac:dyDescent="0.25">
      <c r="B23" s="203" t="s">
        <v>36</v>
      </c>
      <c r="C23" s="13">
        <v>3504</v>
      </c>
      <c r="D23" s="335">
        <v>1852</v>
      </c>
      <c r="E23" s="13">
        <v>3682</v>
      </c>
      <c r="F23" s="335">
        <v>1909</v>
      </c>
      <c r="G23" s="564">
        <v>3047</v>
      </c>
      <c r="H23" s="565">
        <v>1549</v>
      </c>
      <c r="I23" s="338">
        <f t="shared" si="1"/>
        <v>-635</v>
      </c>
      <c r="J23" s="323">
        <f t="shared" si="2"/>
        <v>-17.246061922868005</v>
      </c>
      <c r="L23" s="9">
        <f>RANK(G23,G10:G30,0)</f>
        <v>4</v>
      </c>
      <c r="M23" s="9">
        <f>RANK(G23,G10:G30,1)</f>
        <v>18</v>
      </c>
      <c r="N23" s="147">
        <v>14</v>
      </c>
      <c r="O23" s="9">
        <f>RANK(J23,J10:J30,0)</f>
        <v>20</v>
      </c>
      <c r="P23" s="9">
        <f>RANK(J23,J10:J30,1)</f>
        <v>2</v>
      </c>
      <c r="Q23" s="147">
        <v>14</v>
      </c>
    </row>
    <row r="24" spans="2:17" x14ac:dyDescent="0.25">
      <c r="B24" s="203" t="s">
        <v>37</v>
      </c>
      <c r="C24" s="13">
        <v>2829</v>
      </c>
      <c r="D24" s="335">
        <v>1664</v>
      </c>
      <c r="E24" s="13">
        <v>2900</v>
      </c>
      <c r="F24" s="335">
        <v>1688</v>
      </c>
      <c r="G24" s="564">
        <v>2640</v>
      </c>
      <c r="H24" s="565">
        <v>1081</v>
      </c>
      <c r="I24" s="338">
        <f t="shared" si="1"/>
        <v>-260</v>
      </c>
      <c r="J24" s="323">
        <f t="shared" si="2"/>
        <v>-8.9655172413793096</v>
      </c>
      <c r="L24" s="9">
        <f>RANK(G24,G10:G30,0)</f>
        <v>7</v>
      </c>
      <c r="M24" s="9">
        <f>RANK(G24,G10:G30,1)</f>
        <v>15</v>
      </c>
      <c r="N24" s="147">
        <v>15</v>
      </c>
      <c r="O24" s="9">
        <f>RANK(J24,J10:J30,0)</f>
        <v>8</v>
      </c>
      <c r="P24" s="9">
        <f>RANK(J24,J10:J30,1)</f>
        <v>14</v>
      </c>
      <c r="Q24" s="147">
        <v>15</v>
      </c>
    </row>
    <row r="25" spans="2:17" x14ac:dyDescent="0.25">
      <c r="B25" s="203" t="s">
        <v>38</v>
      </c>
      <c r="C25" s="13">
        <v>2150</v>
      </c>
      <c r="D25" s="335">
        <v>1180</v>
      </c>
      <c r="E25" s="13">
        <v>2078</v>
      </c>
      <c r="F25" s="335">
        <v>1150</v>
      </c>
      <c r="G25" s="564">
        <v>1936</v>
      </c>
      <c r="H25" s="565">
        <v>2025</v>
      </c>
      <c r="I25" s="338">
        <f t="shared" si="1"/>
        <v>-142</v>
      </c>
      <c r="J25" s="323">
        <f t="shared" si="2"/>
        <v>-6.8334937439846009</v>
      </c>
      <c r="L25" s="9">
        <f>RANK(G25,G10:G30,0)</f>
        <v>11</v>
      </c>
      <c r="M25" s="9">
        <f>RANK(G25,G10:G30,1)</f>
        <v>11</v>
      </c>
      <c r="N25" s="147">
        <v>16</v>
      </c>
      <c r="O25" s="9">
        <f>RANK(J25,J10:J30,0)</f>
        <v>3</v>
      </c>
      <c r="P25" s="9">
        <f>RANK(J25,J10:J30,1)</f>
        <v>19</v>
      </c>
      <c r="Q25" s="147">
        <v>16</v>
      </c>
    </row>
    <row r="26" spans="2:17" x14ac:dyDescent="0.25">
      <c r="B26" s="203" t="s">
        <v>39</v>
      </c>
      <c r="C26" s="13">
        <v>5057</v>
      </c>
      <c r="D26" s="335">
        <v>2587</v>
      </c>
      <c r="E26" s="13">
        <v>4555</v>
      </c>
      <c r="F26" s="335">
        <v>2341</v>
      </c>
      <c r="G26" s="564">
        <v>3969</v>
      </c>
      <c r="H26" s="565">
        <v>698</v>
      </c>
      <c r="I26" s="338">
        <f t="shared" si="1"/>
        <v>-586</v>
      </c>
      <c r="J26" s="323">
        <f t="shared" si="2"/>
        <v>-12.864983534577387</v>
      </c>
      <c r="L26" s="9">
        <f>RANK(G26,G10:G30,0)</f>
        <v>1</v>
      </c>
      <c r="M26" s="9">
        <f>RANK(G26,G10:G30,1)</f>
        <v>21</v>
      </c>
      <c r="N26" s="147">
        <v>17</v>
      </c>
      <c r="O26" s="9">
        <f>RANK(J26,J10:J30,0)</f>
        <v>13</v>
      </c>
      <c r="P26" s="9">
        <f>RANK(J26,J10:J30,1)</f>
        <v>9</v>
      </c>
      <c r="Q26" s="147">
        <v>17</v>
      </c>
    </row>
    <row r="27" spans="2:17" x14ac:dyDescent="0.25">
      <c r="B27" s="203" t="s">
        <v>40</v>
      </c>
      <c r="C27" s="13">
        <v>1524</v>
      </c>
      <c r="D27" s="335">
        <v>806</v>
      </c>
      <c r="E27" s="13">
        <v>1424</v>
      </c>
      <c r="F27" s="335">
        <v>725</v>
      </c>
      <c r="G27" s="564">
        <v>1353</v>
      </c>
      <c r="H27" s="565">
        <v>432</v>
      </c>
      <c r="I27" s="338">
        <f t="shared" si="1"/>
        <v>-71</v>
      </c>
      <c r="J27" s="323">
        <f t="shared" si="2"/>
        <v>-4.9859550561797752</v>
      </c>
      <c r="L27" s="9">
        <f>RANK(G27,G10:G30,0)</f>
        <v>15</v>
      </c>
      <c r="M27" s="9">
        <f>RANK(G27,G10:G30,1)</f>
        <v>7</v>
      </c>
      <c r="N27" s="147">
        <v>18</v>
      </c>
      <c r="O27" s="9">
        <f>RANK(J27,J10:J30,0)</f>
        <v>1</v>
      </c>
      <c r="P27" s="9">
        <f>RANK(J27,J10:J30,1)</f>
        <v>21</v>
      </c>
      <c r="Q27" s="147">
        <v>18</v>
      </c>
    </row>
    <row r="28" spans="2:17" x14ac:dyDescent="0.25">
      <c r="B28" s="203" t="s">
        <v>41</v>
      </c>
      <c r="C28" s="13">
        <v>940</v>
      </c>
      <c r="D28" s="335">
        <v>526</v>
      </c>
      <c r="E28" s="13">
        <v>889</v>
      </c>
      <c r="F28" s="335">
        <v>478</v>
      </c>
      <c r="G28" s="564">
        <v>763</v>
      </c>
      <c r="H28" s="565">
        <v>1555</v>
      </c>
      <c r="I28" s="338">
        <f t="shared" si="1"/>
        <v>-126</v>
      </c>
      <c r="J28" s="323">
        <f t="shared" si="2"/>
        <v>-14.173228346456693</v>
      </c>
      <c r="L28" s="9">
        <f>RANK(G28,G10:G30,0)</f>
        <v>20</v>
      </c>
      <c r="M28" s="9">
        <f>RANK(G28,G10:G30,1)</f>
        <v>2</v>
      </c>
      <c r="N28" s="147">
        <v>19</v>
      </c>
      <c r="O28" s="9">
        <f>RANK(J28,J10:J30,0)</f>
        <v>15</v>
      </c>
      <c r="P28" s="9">
        <f>RANK(J28,J10:J30,1)</f>
        <v>7</v>
      </c>
      <c r="Q28" s="147">
        <v>19</v>
      </c>
    </row>
    <row r="29" spans="2:17" x14ac:dyDescent="0.25">
      <c r="B29" s="203" t="s">
        <v>42</v>
      </c>
      <c r="C29" s="13">
        <v>3172</v>
      </c>
      <c r="D29" s="335">
        <v>1739</v>
      </c>
      <c r="E29" s="13">
        <v>3151</v>
      </c>
      <c r="F29" s="335">
        <v>1673</v>
      </c>
      <c r="G29" s="564">
        <v>2876</v>
      </c>
      <c r="H29" s="565">
        <v>621</v>
      </c>
      <c r="I29" s="338">
        <f t="shared" si="1"/>
        <v>-275</v>
      </c>
      <c r="J29" s="323">
        <f t="shared" si="2"/>
        <v>-8.7273881307521428</v>
      </c>
      <c r="L29" s="9">
        <f>RANK(G29,G10:G30,0)</f>
        <v>6</v>
      </c>
      <c r="M29" s="9">
        <f>RANK(G29,G10:G30,1)</f>
        <v>16</v>
      </c>
      <c r="N29" s="147">
        <v>20</v>
      </c>
      <c r="O29" s="9">
        <f>RANK(J29,J10:J30,0)</f>
        <v>6</v>
      </c>
      <c r="P29" s="9">
        <f>RANK(J29,J10:J30,1)</f>
        <v>16</v>
      </c>
      <c r="Q29" s="147">
        <v>20</v>
      </c>
    </row>
    <row r="30" spans="2:17" ht="15.75" thickBot="1" x14ac:dyDescent="0.3">
      <c r="B30" s="204" t="s">
        <v>43</v>
      </c>
      <c r="C30" s="20">
        <v>1327</v>
      </c>
      <c r="D30" s="336">
        <v>687</v>
      </c>
      <c r="E30" s="20">
        <v>1303</v>
      </c>
      <c r="F30" s="336">
        <v>659</v>
      </c>
      <c r="G30" s="566">
        <v>1136</v>
      </c>
      <c r="H30" s="567">
        <v>343</v>
      </c>
      <c r="I30" s="339">
        <f t="shared" si="1"/>
        <v>-167</v>
      </c>
      <c r="J30" s="150">
        <f t="shared" si="2"/>
        <v>-12.81657712970069</v>
      </c>
      <c r="L30" s="9">
        <f>RANK(G30,G10:G30,0)</f>
        <v>18</v>
      </c>
      <c r="M30" s="9">
        <f>RANK(G30,G10:G30,1)</f>
        <v>4</v>
      </c>
      <c r="N30" s="147">
        <v>21</v>
      </c>
      <c r="O30" s="9">
        <f>RANK(J30,J10:J30,0)</f>
        <v>12</v>
      </c>
      <c r="P30" s="9">
        <f>RANK(J30,J10:J30,1)</f>
        <v>10</v>
      </c>
      <c r="Q30" s="147">
        <v>21</v>
      </c>
    </row>
  </sheetData>
  <mergeCells count="4">
    <mergeCell ref="C5:D5"/>
    <mergeCell ref="G5:H5"/>
    <mergeCell ref="E5:F5"/>
    <mergeCell ref="B5:B6"/>
  </mergeCells>
  <printOptions horizontalCentered="1"/>
  <pageMargins left="0" right="0" top="1.0236220472440944" bottom="0.31496062992125984" header="0.31496062992125984" footer="0.31496062992125984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P33"/>
  <sheetViews>
    <sheetView workbookViewId="0">
      <selection activeCell="B1" sqref="B1"/>
    </sheetView>
  </sheetViews>
  <sheetFormatPr defaultColWidth="9.140625" defaultRowHeight="15" x14ac:dyDescent="0.25"/>
  <cols>
    <col min="1" max="1" width="3.28515625" style="11" customWidth="1"/>
    <col min="2" max="2" width="49.28515625" style="11" customWidth="1"/>
    <col min="3" max="3" width="10.85546875" style="11" customWidth="1"/>
    <col min="4" max="4" width="7.85546875" style="11" customWidth="1"/>
    <col min="5" max="5" width="9.28515625" style="11" bestFit="1" customWidth="1"/>
    <col min="6" max="6" width="7.85546875" style="11" customWidth="1"/>
    <col min="7" max="7" width="10.5703125" style="11" bestFit="1" customWidth="1"/>
    <col min="8" max="8" width="8" style="11" customWidth="1"/>
    <col min="9" max="9" width="9.28515625" style="11" bestFit="1" customWidth="1"/>
    <col min="10" max="10" width="8.7109375" style="11" customWidth="1"/>
    <col min="11" max="11" width="10" style="11" bestFit="1" customWidth="1"/>
    <col min="12" max="12" width="7.28515625" style="11" customWidth="1"/>
    <col min="13" max="13" width="9.7109375" style="11" customWidth="1"/>
    <col min="14" max="14" width="7" style="11" customWidth="1"/>
    <col min="15" max="15" width="2.85546875" style="11" customWidth="1"/>
    <col min="16" max="16" width="5" style="148" customWidth="1"/>
    <col min="17" max="16384" width="9.140625" style="11"/>
  </cols>
  <sheetData>
    <row r="1" spans="2:16" ht="12.75" customHeight="1" x14ac:dyDescent="0.25"/>
    <row r="2" spans="2:16" x14ac:dyDescent="0.25">
      <c r="B2" s="971" t="s">
        <v>427</v>
      </c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1"/>
      <c r="N2" s="971"/>
      <c r="O2" s="573"/>
    </row>
    <row r="3" spans="2:16" ht="15.75" customHeight="1" thickBot="1" x14ac:dyDescent="0.3">
      <c r="B3" s="177" t="s">
        <v>416</v>
      </c>
      <c r="C3" s="175"/>
      <c r="D3" s="175"/>
      <c r="E3" s="175"/>
      <c r="F3" s="175"/>
      <c r="K3" s="156"/>
      <c r="L3" s="156"/>
      <c r="M3" s="156"/>
      <c r="N3" s="156"/>
      <c r="O3" s="156"/>
    </row>
    <row r="4" spans="2:16" x14ac:dyDescent="0.25">
      <c r="B4" s="967" t="s">
        <v>117</v>
      </c>
      <c r="C4" s="956" t="s">
        <v>471</v>
      </c>
      <c r="D4" s="957"/>
      <c r="E4" s="957"/>
      <c r="F4" s="958"/>
      <c r="G4" s="963" t="s">
        <v>472</v>
      </c>
      <c r="H4" s="964"/>
      <c r="I4" s="964"/>
      <c r="J4" s="965"/>
      <c r="K4" s="966" t="s">
        <v>123</v>
      </c>
      <c r="L4" s="957"/>
      <c r="M4" s="957"/>
      <c r="N4" s="958"/>
      <c r="O4" s="492"/>
    </row>
    <row r="5" spans="2:16" ht="27.75" customHeight="1" x14ac:dyDescent="0.25">
      <c r="B5" s="968"/>
      <c r="C5" s="959" t="s">
        <v>4</v>
      </c>
      <c r="D5" s="960"/>
      <c r="E5" s="961" t="s">
        <v>103</v>
      </c>
      <c r="F5" s="962"/>
      <c r="G5" s="959" t="s">
        <v>4</v>
      </c>
      <c r="H5" s="960"/>
      <c r="I5" s="961" t="s">
        <v>103</v>
      </c>
      <c r="J5" s="962"/>
      <c r="K5" s="970" t="s">
        <v>4</v>
      </c>
      <c r="L5" s="960"/>
      <c r="M5" s="961" t="s">
        <v>103</v>
      </c>
      <c r="N5" s="962"/>
      <c r="O5" s="587"/>
    </row>
    <row r="6" spans="2:16" ht="27.75" customHeight="1" thickBot="1" x14ac:dyDescent="0.3">
      <c r="B6" s="969"/>
      <c r="C6" s="198" t="s">
        <v>121</v>
      </c>
      <c r="D6" s="199" t="s">
        <v>484</v>
      </c>
      <c r="E6" s="200" t="s">
        <v>121</v>
      </c>
      <c r="F6" s="199" t="s">
        <v>484</v>
      </c>
      <c r="G6" s="198" t="s">
        <v>121</v>
      </c>
      <c r="H6" s="199" t="s">
        <v>484</v>
      </c>
      <c r="I6" s="200" t="s">
        <v>121</v>
      </c>
      <c r="J6" s="717" t="s">
        <v>484</v>
      </c>
      <c r="K6" s="200" t="s">
        <v>121</v>
      </c>
      <c r="L6" s="199" t="s">
        <v>484</v>
      </c>
      <c r="M6" s="200" t="s">
        <v>121</v>
      </c>
      <c r="N6" s="199" t="s">
        <v>484</v>
      </c>
      <c r="O6" s="588"/>
    </row>
    <row r="7" spans="2:16" ht="18.75" x14ac:dyDescent="0.3">
      <c r="B7" s="298" t="s">
        <v>120</v>
      </c>
      <c r="C7" s="299">
        <v>77291</v>
      </c>
      <c r="D7" s="107">
        <v>100</v>
      </c>
      <c r="E7" s="52">
        <v>41090</v>
      </c>
      <c r="F7" s="108">
        <v>100</v>
      </c>
      <c r="G7" s="299">
        <v>69016</v>
      </c>
      <c r="H7" s="107">
        <v>100</v>
      </c>
      <c r="I7" s="52">
        <v>33103</v>
      </c>
      <c r="J7" s="108">
        <v>100</v>
      </c>
      <c r="K7" s="300">
        <f>G7-C7</f>
        <v>-8275</v>
      </c>
      <c r="L7" s="301">
        <f>K7/C7*100</f>
        <v>-10.706291806290512</v>
      </c>
      <c r="M7" s="302">
        <f>I7-E7</f>
        <v>-7987</v>
      </c>
      <c r="N7" s="303">
        <f>M7/E7*100</f>
        <v>-19.437819420783644</v>
      </c>
      <c r="O7" s="584"/>
    </row>
    <row r="8" spans="2:16" ht="16.5" customHeight="1" thickBot="1" x14ac:dyDescent="0.3">
      <c r="B8" s="291" t="s">
        <v>242</v>
      </c>
      <c r="C8" s="3">
        <v>67766</v>
      </c>
      <c r="D8" s="288" t="s">
        <v>102</v>
      </c>
      <c r="E8" s="5">
        <v>36772</v>
      </c>
      <c r="F8" s="292" t="s">
        <v>102</v>
      </c>
      <c r="G8" s="3">
        <v>60291</v>
      </c>
      <c r="H8" s="288" t="s">
        <v>102</v>
      </c>
      <c r="I8" s="5">
        <v>33103</v>
      </c>
      <c r="J8" s="292" t="s">
        <v>102</v>
      </c>
      <c r="K8" s="120">
        <f>SUM(G8)-C8</f>
        <v>-7475</v>
      </c>
      <c r="L8" s="289">
        <f>K8/C8*100</f>
        <v>-11.030605318301214</v>
      </c>
      <c r="M8" s="121">
        <f>SUM(I8)-E8</f>
        <v>-3669</v>
      </c>
      <c r="N8" s="290">
        <f>M8/E8*100</f>
        <v>-9.9777004242358309</v>
      </c>
      <c r="O8" s="585"/>
    </row>
    <row r="9" spans="2:16" ht="16.5" customHeight="1" thickBot="1" x14ac:dyDescent="0.3">
      <c r="B9" s="720" t="s">
        <v>57</v>
      </c>
      <c r="C9" s="427"/>
      <c r="D9" s="428"/>
      <c r="E9" s="427"/>
      <c r="F9" s="428"/>
      <c r="G9" s="427"/>
      <c r="H9" s="428"/>
      <c r="I9" s="427"/>
      <c r="J9" s="716"/>
      <c r="K9" s="429"/>
      <c r="L9" s="430"/>
      <c r="M9" s="429"/>
      <c r="N9" s="431"/>
      <c r="O9" s="589"/>
    </row>
    <row r="10" spans="2:16" x14ac:dyDescent="0.25">
      <c r="B10" s="275" t="s">
        <v>244</v>
      </c>
      <c r="C10" s="276">
        <v>20335</v>
      </c>
      <c r="D10" s="279">
        <f>SUM(C10*100/C7)</f>
        <v>26.309660891953786</v>
      </c>
      <c r="E10" s="278">
        <v>11474</v>
      </c>
      <c r="F10" s="281">
        <f>SUM(E10*100/E7)</f>
        <v>27.924069116573374</v>
      </c>
      <c r="G10" s="276">
        <v>16579</v>
      </c>
      <c r="H10" s="294">
        <f>SUM(G10*100/G7)</f>
        <v>24.021965920945867</v>
      </c>
      <c r="I10" s="278">
        <v>9496</v>
      </c>
      <c r="J10" s="296">
        <f>SUM(I10*100/I7)</f>
        <v>28.686221792586775</v>
      </c>
      <c r="K10" s="713">
        <f>G10-C10</f>
        <v>-3756</v>
      </c>
      <c r="L10" s="294">
        <f>K10/C10*100</f>
        <v>-18.47061716252766</v>
      </c>
      <c r="M10" s="277">
        <f t="shared" ref="M10:M17" si="0">I10-E10</f>
        <v>-1978</v>
      </c>
      <c r="N10" s="296">
        <f t="shared" ref="N10:N17" si="1">M10/E10*100</f>
        <v>-17.238975074080528</v>
      </c>
      <c r="O10" s="586"/>
      <c r="P10" s="511">
        <f>SUM(D10-H10)</f>
        <v>2.2876949710079195</v>
      </c>
    </row>
    <row r="11" spans="2:16" x14ac:dyDescent="0.25">
      <c r="B11" s="176" t="s">
        <v>243</v>
      </c>
      <c r="C11" s="162">
        <v>9878</v>
      </c>
      <c r="D11" s="158">
        <f>SUM(C11*100/C7)</f>
        <v>12.780271959219055</v>
      </c>
      <c r="E11" s="163">
        <v>5055</v>
      </c>
      <c r="F11" s="159">
        <f>SUM(E11*100/E7)</f>
        <v>12.302263324409832</v>
      </c>
      <c r="G11" s="162">
        <v>7826</v>
      </c>
      <c r="H11" s="158">
        <f>SUM(G11*100/G7)</f>
        <v>11.33939955952243</v>
      </c>
      <c r="I11" s="163">
        <v>4018</v>
      </c>
      <c r="J11" s="718">
        <f>SUM(I11*100/I7)</f>
        <v>12.137872700359484</v>
      </c>
      <c r="K11" s="714">
        <f t="shared" ref="K11:K17" si="2">G11-C11</f>
        <v>-2052</v>
      </c>
      <c r="L11" s="210">
        <f>K11/C11*100</f>
        <v>-20.773435918202065</v>
      </c>
      <c r="M11" s="118">
        <f t="shared" si="0"/>
        <v>-1037</v>
      </c>
      <c r="N11" s="116">
        <f t="shared" si="1"/>
        <v>-20.514342235410485</v>
      </c>
      <c r="O11" s="577"/>
    </row>
    <row r="12" spans="2:16" x14ac:dyDescent="0.25">
      <c r="B12" s="161" t="s">
        <v>245</v>
      </c>
      <c r="C12" s="162">
        <v>46764</v>
      </c>
      <c r="D12" s="158">
        <f>SUM(C12*100/C7)</f>
        <v>60.503810275452508</v>
      </c>
      <c r="E12" s="163">
        <v>26350</v>
      </c>
      <c r="F12" s="159">
        <f>SUM(E12*100/E7)</f>
        <v>64.127524945242158</v>
      </c>
      <c r="G12" s="162">
        <v>42099</v>
      </c>
      <c r="H12" s="158">
        <f>SUM(G12*100/G7)</f>
        <v>60.998898806073953</v>
      </c>
      <c r="I12" s="163">
        <v>23832</v>
      </c>
      <c r="J12" s="718">
        <f>SUM(I12*100/I7)</f>
        <v>71.993474911639424</v>
      </c>
      <c r="K12" s="714">
        <f>G12-C12</f>
        <v>-4665</v>
      </c>
      <c r="L12" s="210">
        <f>K12/C12*100</f>
        <v>-9.9756222735437525</v>
      </c>
      <c r="M12" s="118">
        <f t="shared" si="0"/>
        <v>-2518</v>
      </c>
      <c r="N12" s="116">
        <f t="shared" si="1"/>
        <v>-9.5559772296015186</v>
      </c>
      <c r="O12" s="577"/>
      <c r="P12" s="511">
        <f>SUM(D12-H12)</f>
        <v>-0.49508853062144453</v>
      </c>
    </row>
    <row r="13" spans="2:16" x14ac:dyDescent="0.25">
      <c r="B13" s="161" t="s">
        <v>246</v>
      </c>
      <c r="C13" s="162">
        <v>18646</v>
      </c>
      <c r="D13" s="158">
        <f>SUM(C13*100/C7)</f>
        <v>24.124412932941741</v>
      </c>
      <c r="E13" s="163">
        <v>7047</v>
      </c>
      <c r="F13" s="159">
        <f>SUM(E13*100/E7)</f>
        <v>17.150158189340473</v>
      </c>
      <c r="G13" s="162">
        <v>17368</v>
      </c>
      <c r="H13" s="158">
        <f>SUM(G13*100/G7)</f>
        <v>25.165179088906921</v>
      </c>
      <c r="I13" s="163">
        <v>6597</v>
      </c>
      <c r="J13" s="718">
        <f>SUM(I13*100/I7)</f>
        <v>19.928707367912274</v>
      </c>
      <c r="K13" s="714">
        <f>G13-C13</f>
        <v>-1278</v>
      </c>
      <c r="L13" s="210">
        <f t="shared" ref="L13:L17" si="3">K13/C13*100</f>
        <v>-6.8540169473345482</v>
      </c>
      <c r="M13" s="118">
        <f t="shared" si="0"/>
        <v>-450</v>
      </c>
      <c r="N13" s="116">
        <f t="shared" si="1"/>
        <v>-6.3856960408684547</v>
      </c>
      <c r="O13" s="577"/>
      <c r="P13" s="525">
        <f>SUM(D13-H13)</f>
        <v>-1.04076615596518</v>
      </c>
    </row>
    <row r="14" spans="2:16" x14ac:dyDescent="0.25">
      <c r="B14" s="161" t="s">
        <v>247</v>
      </c>
      <c r="C14" s="162">
        <v>1001</v>
      </c>
      <c r="D14" s="158">
        <f>SUM(C14*100/C7)</f>
        <v>1.2951055103440245</v>
      </c>
      <c r="E14" s="163">
        <v>530</v>
      </c>
      <c r="F14" s="159">
        <f>SUM(E14*100/E7)</f>
        <v>1.2898515453881723</v>
      </c>
      <c r="G14" s="162">
        <v>927</v>
      </c>
      <c r="H14" s="295">
        <f>SUM(G14*100/G7)</f>
        <v>1.3431668019010086</v>
      </c>
      <c r="I14" s="163">
        <v>519</v>
      </c>
      <c r="J14" s="297">
        <f>SUM(I14*100/I7)</f>
        <v>1.5678337310817752</v>
      </c>
      <c r="K14" s="715">
        <f t="shared" si="2"/>
        <v>-74</v>
      </c>
      <c r="L14" s="295">
        <f t="shared" si="3"/>
        <v>-7.3926073926073919</v>
      </c>
      <c r="M14" s="157">
        <f t="shared" si="0"/>
        <v>-11</v>
      </c>
      <c r="N14" s="297">
        <f t="shared" si="1"/>
        <v>-2.0754716981132075</v>
      </c>
      <c r="O14" s="586"/>
    </row>
    <row r="15" spans="2:16" ht="15.75" customHeight="1" x14ac:dyDescent="0.25">
      <c r="B15" s="161" t="s">
        <v>248</v>
      </c>
      <c r="C15" s="162">
        <v>14641</v>
      </c>
      <c r="D15" s="158">
        <f>SUM(C15*100/C7)</f>
        <v>18.942697079866996</v>
      </c>
      <c r="E15" s="163">
        <v>12390</v>
      </c>
      <c r="F15" s="159">
        <f>SUM(E15*100/E7)</f>
        <v>30.153321976149915</v>
      </c>
      <c r="G15" s="162">
        <v>13525</v>
      </c>
      <c r="H15" s="295">
        <f>SUM(G15*100/G7)</f>
        <v>19.596905065492059</v>
      </c>
      <c r="I15" s="163">
        <v>11618</v>
      </c>
      <c r="J15" s="297">
        <f>SUM(I15*100/I7)</f>
        <v>35.096516932000121</v>
      </c>
      <c r="K15" s="715">
        <f t="shared" si="2"/>
        <v>-1116</v>
      </c>
      <c r="L15" s="295">
        <f t="shared" si="3"/>
        <v>-7.6224301618741883</v>
      </c>
      <c r="M15" s="157">
        <f t="shared" si="0"/>
        <v>-772</v>
      </c>
      <c r="N15" s="297">
        <f t="shared" si="1"/>
        <v>-6.2308313155770785</v>
      </c>
      <c r="O15" s="586"/>
    </row>
    <row r="16" spans="2:16" ht="30" x14ac:dyDescent="0.25">
      <c r="B16" s="161" t="s">
        <v>249</v>
      </c>
      <c r="C16" s="162">
        <v>131</v>
      </c>
      <c r="D16" s="158">
        <f>SUM(C16*100/C7)</f>
        <v>0.16948933252254467</v>
      </c>
      <c r="E16" s="163">
        <v>78</v>
      </c>
      <c r="F16" s="159">
        <f>SUM(E16*100/E7)</f>
        <v>0.18982720856656121</v>
      </c>
      <c r="G16" s="162">
        <v>114</v>
      </c>
      <c r="H16" s="295">
        <f>SUM(G16*100/G7)</f>
        <v>0.16517908890692012</v>
      </c>
      <c r="I16" s="163">
        <v>78</v>
      </c>
      <c r="J16" s="297">
        <f>SUM(I16*100/I7)</f>
        <v>0.23562819079841707</v>
      </c>
      <c r="K16" s="715">
        <f t="shared" si="2"/>
        <v>-17</v>
      </c>
      <c r="L16" s="295">
        <f t="shared" si="3"/>
        <v>-12.977099236641221</v>
      </c>
      <c r="M16" s="157">
        <f t="shared" si="0"/>
        <v>0</v>
      </c>
      <c r="N16" s="297">
        <f t="shared" si="1"/>
        <v>0</v>
      </c>
      <c r="O16" s="586"/>
    </row>
    <row r="17" spans="2:16" ht="15.75" thickBot="1" x14ac:dyDescent="0.3">
      <c r="B17" s="167" t="s">
        <v>250</v>
      </c>
      <c r="C17" s="168">
        <v>4463</v>
      </c>
      <c r="D17" s="169">
        <f>SUM(C17*100/C7)</f>
        <v>5.7742816110543274</v>
      </c>
      <c r="E17" s="170">
        <v>2033</v>
      </c>
      <c r="F17" s="293">
        <f>SUM(E17*100/E7)</f>
        <v>4.9476758335361399</v>
      </c>
      <c r="G17" s="168">
        <v>4359</v>
      </c>
      <c r="H17" s="169">
        <f>SUM(G17*100/G7)</f>
        <v>6.3159267416251303</v>
      </c>
      <c r="I17" s="170">
        <v>1987</v>
      </c>
      <c r="J17" s="719">
        <f>SUM(I17*100/I7)</f>
        <v>6.0024771168776248</v>
      </c>
      <c r="K17" s="120">
        <f t="shared" si="2"/>
        <v>-104</v>
      </c>
      <c r="L17" s="212">
        <f t="shared" si="3"/>
        <v>-2.3302711180820075</v>
      </c>
      <c r="M17" s="121">
        <f t="shared" si="0"/>
        <v>-46</v>
      </c>
      <c r="N17" s="122">
        <f t="shared" si="1"/>
        <v>-2.2626660108214462</v>
      </c>
      <c r="O17" s="577"/>
    </row>
    <row r="18" spans="2:16" x14ac:dyDescent="0.25">
      <c r="B18" s="670"/>
      <c r="C18" s="172"/>
      <c r="D18" s="173"/>
      <c r="E18" s="172"/>
      <c r="F18" s="173"/>
      <c r="G18" s="172"/>
      <c r="H18" s="173"/>
      <c r="I18" s="172"/>
      <c r="J18" s="173"/>
      <c r="K18" s="671"/>
      <c r="L18" s="577"/>
      <c r="M18" s="671"/>
      <c r="N18" s="577"/>
      <c r="O18" s="577"/>
    </row>
    <row r="19" spans="2:16" ht="21" customHeight="1" thickBot="1" x14ac:dyDescent="0.3">
      <c r="B19" s="631" t="s">
        <v>417</v>
      </c>
      <c r="C19" s="172"/>
      <c r="D19" s="173"/>
      <c r="E19" s="172"/>
      <c r="F19" s="173"/>
      <c r="G19" s="172"/>
      <c r="H19" s="174"/>
      <c r="I19" s="172"/>
      <c r="J19" s="174"/>
      <c r="K19" s="174"/>
      <c r="L19" s="174"/>
      <c r="M19" s="174"/>
      <c r="N19" s="174"/>
      <c r="O19" s="174"/>
    </row>
    <row r="20" spans="2:16" ht="17.25" customHeight="1" x14ac:dyDescent="0.25">
      <c r="B20" s="967" t="s">
        <v>117</v>
      </c>
      <c r="C20" s="956" t="s">
        <v>411</v>
      </c>
      <c r="D20" s="957"/>
      <c r="E20" s="957"/>
      <c r="F20" s="958"/>
      <c r="G20" s="963" t="s">
        <v>472</v>
      </c>
      <c r="H20" s="964"/>
      <c r="I20" s="964"/>
      <c r="J20" s="965"/>
      <c r="K20" s="966" t="s">
        <v>123</v>
      </c>
      <c r="L20" s="957"/>
      <c r="M20" s="957"/>
      <c r="N20" s="958"/>
      <c r="O20" s="492"/>
    </row>
    <row r="21" spans="2:16" x14ac:dyDescent="0.25">
      <c r="B21" s="968"/>
      <c r="C21" s="959" t="s">
        <v>4</v>
      </c>
      <c r="D21" s="960"/>
      <c r="E21" s="961" t="s">
        <v>103</v>
      </c>
      <c r="F21" s="962"/>
      <c r="G21" s="959" t="s">
        <v>4</v>
      </c>
      <c r="H21" s="960"/>
      <c r="I21" s="961" t="s">
        <v>103</v>
      </c>
      <c r="J21" s="962"/>
      <c r="K21" s="970" t="s">
        <v>4</v>
      </c>
      <c r="L21" s="960"/>
      <c r="M21" s="961" t="s">
        <v>103</v>
      </c>
      <c r="N21" s="962"/>
      <c r="O21" s="587"/>
    </row>
    <row r="22" spans="2:16" ht="15.75" thickBot="1" x14ac:dyDescent="0.3">
      <c r="B22" s="969"/>
      <c r="C22" s="198" t="s">
        <v>121</v>
      </c>
      <c r="D22" s="199" t="s">
        <v>484</v>
      </c>
      <c r="E22" s="200" t="s">
        <v>121</v>
      </c>
      <c r="F22" s="199" t="s">
        <v>484</v>
      </c>
      <c r="G22" s="198" t="s">
        <v>121</v>
      </c>
      <c r="H22" s="199" t="s">
        <v>484</v>
      </c>
      <c r="I22" s="200" t="s">
        <v>121</v>
      </c>
      <c r="J22" s="717" t="s">
        <v>484</v>
      </c>
      <c r="K22" s="200" t="s">
        <v>121</v>
      </c>
      <c r="L22" s="199" t="s">
        <v>484</v>
      </c>
      <c r="M22" s="200" t="s">
        <v>121</v>
      </c>
      <c r="N22" s="199" t="s">
        <v>484</v>
      </c>
      <c r="O22" s="588"/>
    </row>
    <row r="23" spans="2:16" ht="18.75" x14ac:dyDescent="0.3">
      <c r="B23" s="298" t="s">
        <v>120</v>
      </c>
      <c r="C23" s="299">
        <v>80944</v>
      </c>
      <c r="D23" s="107">
        <v>100</v>
      </c>
      <c r="E23" s="52">
        <v>43242</v>
      </c>
      <c r="F23" s="108">
        <v>100</v>
      </c>
      <c r="G23" s="299">
        <f>SUM(G7)</f>
        <v>69016</v>
      </c>
      <c r="H23" s="107">
        <v>100</v>
      </c>
      <c r="I23" s="52">
        <f>SUM(I7)</f>
        <v>33103</v>
      </c>
      <c r="J23" s="108">
        <v>100</v>
      </c>
      <c r="K23" s="300">
        <f>G23-C23</f>
        <v>-11928</v>
      </c>
      <c r="L23" s="301">
        <f>K23/C23*100</f>
        <v>-14.736113856493377</v>
      </c>
      <c r="M23" s="302">
        <f>I23-E23</f>
        <v>-10139</v>
      </c>
      <c r="N23" s="303">
        <f>M23/E23*100</f>
        <v>-23.44711160445863</v>
      </c>
      <c r="O23" s="584"/>
    </row>
    <row r="24" spans="2:16" ht="15.75" thickBot="1" x14ac:dyDescent="0.3">
      <c r="B24" s="291" t="s">
        <v>242</v>
      </c>
      <c r="C24" s="3">
        <v>70396</v>
      </c>
      <c r="D24" s="288" t="s">
        <v>102</v>
      </c>
      <c r="E24" s="5">
        <v>38484</v>
      </c>
      <c r="F24" s="292" t="s">
        <v>102</v>
      </c>
      <c r="G24" s="3">
        <f>SUM(G8)</f>
        <v>60291</v>
      </c>
      <c r="H24" s="288" t="s">
        <v>102</v>
      </c>
      <c r="I24" s="5">
        <f>SUM(I8)</f>
        <v>33103</v>
      </c>
      <c r="J24" s="292" t="s">
        <v>102</v>
      </c>
      <c r="K24" s="120">
        <f>SUM(G24)-C24</f>
        <v>-10105</v>
      </c>
      <c r="L24" s="289">
        <f>K24/C24*100</f>
        <v>-14.354508778907892</v>
      </c>
      <c r="M24" s="121">
        <f>SUM(I24)-E24</f>
        <v>-5381</v>
      </c>
      <c r="N24" s="290">
        <f>M24/E24*100</f>
        <v>-13.982434258393099</v>
      </c>
      <c r="O24" s="585"/>
    </row>
    <row r="25" spans="2:16" ht="15.75" thickBot="1" x14ac:dyDescent="0.3">
      <c r="B25" s="720" t="s">
        <v>57</v>
      </c>
      <c r="C25" s="427"/>
      <c r="D25" s="428"/>
      <c r="E25" s="427"/>
      <c r="F25" s="428"/>
      <c r="G25" s="427"/>
      <c r="H25" s="428"/>
      <c r="I25" s="427"/>
      <c r="J25" s="428"/>
      <c r="K25" s="429"/>
      <c r="L25" s="430"/>
      <c r="M25" s="429"/>
      <c r="N25" s="431"/>
      <c r="O25" s="589"/>
    </row>
    <row r="26" spans="2:16" x14ac:dyDescent="0.25">
      <c r="B26" s="275" t="s">
        <v>244</v>
      </c>
      <c r="C26" s="276">
        <v>21280</v>
      </c>
      <c r="D26" s="279">
        <f>SUM(C26*100/C23)</f>
        <v>26.289780589049219</v>
      </c>
      <c r="E26" s="280">
        <v>12108</v>
      </c>
      <c r="F26" s="281">
        <f>SUM(E26*100/E23)</f>
        <v>28.00055501595671</v>
      </c>
      <c r="G26" s="276">
        <f t="shared" ref="G26:G33" si="4">SUM(G10)</f>
        <v>16579</v>
      </c>
      <c r="H26" s="294">
        <f>SUM(G26*100/G23)</f>
        <v>24.021965920945867</v>
      </c>
      <c r="I26" s="278">
        <f t="shared" ref="I26:I33" si="5">SUM(I10)</f>
        <v>9496</v>
      </c>
      <c r="J26" s="294">
        <f>SUM(I26*100/I23)</f>
        <v>28.686221792586775</v>
      </c>
      <c r="K26" s="282">
        <f>G26-C26</f>
        <v>-4701</v>
      </c>
      <c r="L26" s="294">
        <f>K26/C26*100</f>
        <v>-22.091165413533833</v>
      </c>
      <c r="M26" s="277">
        <f t="shared" ref="M26:M33" si="6">I26-E26</f>
        <v>-2612</v>
      </c>
      <c r="N26" s="296">
        <f t="shared" ref="N26:N33" si="7">M26/E26*100</f>
        <v>-21.572514040303929</v>
      </c>
      <c r="O26" s="586"/>
    </row>
    <row r="27" spans="2:16" x14ac:dyDescent="0.25">
      <c r="B27" s="176" t="s">
        <v>243</v>
      </c>
      <c r="C27" s="162">
        <v>10067</v>
      </c>
      <c r="D27" s="158">
        <f>SUM(C27*100/C23)</f>
        <v>12.436993476971734</v>
      </c>
      <c r="E27" s="164">
        <v>5207</v>
      </c>
      <c r="F27" s="159">
        <f>SUM(E27*100/E23)</f>
        <v>12.041533694093705</v>
      </c>
      <c r="G27" s="162">
        <f t="shared" si="4"/>
        <v>7826</v>
      </c>
      <c r="H27" s="158">
        <f>SUM(G27*100/G23)</f>
        <v>11.33939955952243</v>
      </c>
      <c r="I27" s="163">
        <f t="shared" si="5"/>
        <v>4018</v>
      </c>
      <c r="J27" s="158">
        <f>SUM(I27*100/I23)</f>
        <v>12.137872700359484</v>
      </c>
      <c r="K27" s="117">
        <f t="shared" ref="K27:K33" si="8">G27-C27</f>
        <v>-2241</v>
      </c>
      <c r="L27" s="210">
        <f>K27/C27*100</f>
        <v>-22.260852289659283</v>
      </c>
      <c r="M27" s="118">
        <f t="shared" si="6"/>
        <v>-1189</v>
      </c>
      <c r="N27" s="116">
        <f t="shared" si="7"/>
        <v>-22.834645669291341</v>
      </c>
      <c r="O27" s="577"/>
    </row>
    <row r="28" spans="2:16" x14ac:dyDescent="0.25">
      <c r="B28" s="161" t="s">
        <v>245</v>
      </c>
      <c r="C28" s="162">
        <v>48433</v>
      </c>
      <c r="D28" s="158">
        <f>SUM(C28*100/C23)</f>
        <v>59.835194702510378</v>
      </c>
      <c r="E28" s="164">
        <v>27427</v>
      </c>
      <c r="F28" s="159">
        <f>SUM(E28*100/E23)</f>
        <v>63.426761019379306</v>
      </c>
      <c r="G28" s="162">
        <f t="shared" si="4"/>
        <v>42099</v>
      </c>
      <c r="H28" s="158">
        <f>SUM(G28*100/G23)</f>
        <v>60.998898806073953</v>
      </c>
      <c r="I28" s="163">
        <f t="shared" si="5"/>
        <v>23832</v>
      </c>
      <c r="J28" s="158">
        <f>SUM(I28*100/I23)</f>
        <v>71.993474911639424</v>
      </c>
      <c r="K28" s="117">
        <f>G28-C28</f>
        <v>-6334</v>
      </c>
      <c r="L28" s="210">
        <f>K28/C28*100</f>
        <v>-13.077860136683666</v>
      </c>
      <c r="M28" s="118">
        <f t="shared" si="6"/>
        <v>-3595</v>
      </c>
      <c r="N28" s="116">
        <f t="shared" si="7"/>
        <v>-13.107521785102271</v>
      </c>
      <c r="O28" s="577"/>
      <c r="P28" s="511">
        <f>SUM(D28-H28)</f>
        <v>-1.1637041035635747</v>
      </c>
    </row>
    <row r="29" spans="2:16" x14ac:dyDescent="0.25">
      <c r="B29" s="161" t="s">
        <v>246</v>
      </c>
      <c r="C29" s="162">
        <v>19172</v>
      </c>
      <c r="D29" s="158">
        <f>SUM(C29*100/C23)</f>
        <v>23.68551097054754</v>
      </c>
      <c r="E29" s="164">
        <v>7304</v>
      </c>
      <c r="F29" s="159">
        <f>SUM(E29*100/E23)</f>
        <v>16.890985615836456</v>
      </c>
      <c r="G29" s="162">
        <f t="shared" si="4"/>
        <v>17368</v>
      </c>
      <c r="H29" s="158">
        <f>SUM(G29*100/G23)</f>
        <v>25.165179088906921</v>
      </c>
      <c r="I29" s="163">
        <f t="shared" si="5"/>
        <v>6597</v>
      </c>
      <c r="J29" s="158">
        <f>SUM(I29*100/I23)</f>
        <v>19.928707367912274</v>
      </c>
      <c r="K29" s="117">
        <f>G29-C29</f>
        <v>-1804</v>
      </c>
      <c r="L29" s="210">
        <f>K29/C29*100</f>
        <v>-9.4095556019194664</v>
      </c>
      <c r="M29" s="118">
        <f t="shared" si="6"/>
        <v>-707</v>
      </c>
      <c r="N29" s="116">
        <f t="shared" si="7"/>
        <v>-9.6796276013143494</v>
      </c>
      <c r="O29" s="577"/>
    </row>
    <row r="30" spans="2:16" x14ac:dyDescent="0.25">
      <c r="B30" s="161" t="s">
        <v>247</v>
      </c>
      <c r="C30" s="165">
        <v>951</v>
      </c>
      <c r="D30" s="158">
        <f>SUM(C30*100/C23)</f>
        <v>1.174886341174145</v>
      </c>
      <c r="E30" s="166">
        <v>522</v>
      </c>
      <c r="F30" s="159">
        <f>SUM(E30*100/E23)</f>
        <v>1.2071597058415429</v>
      </c>
      <c r="G30" s="162">
        <f t="shared" si="4"/>
        <v>927</v>
      </c>
      <c r="H30" s="295">
        <f>SUM(G30*100/G23)</f>
        <v>1.3431668019010086</v>
      </c>
      <c r="I30" s="163">
        <f t="shared" si="5"/>
        <v>519</v>
      </c>
      <c r="J30" s="295">
        <f>SUM(I30*100/I23)</f>
        <v>1.5678337310817752</v>
      </c>
      <c r="K30" s="160">
        <f t="shared" si="8"/>
        <v>-24</v>
      </c>
      <c r="L30" s="295">
        <f t="shared" ref="L30:L33" si="9">K30/C30*100</f>
        <v>-2.5236593059936907</v>
      </c>
      <c r="M30" s="157">
        <f t="shared" si="6"/>
        <v>-3</v>
      </c>
      <c r="N30" s="297">
        <f t="shared" si="7"/>
        <v>-0.57471264367816088</v>
      </c>
      <c r="O30" s="586"/>
    </row>
    <row r="31" spans="2:16" x14ac:dyDescent="0.25">
      <c r="B31" s="161" t="s">
        <v>248</v>
      </c>
      <c r="C31" s="162">
        <v>15727</v>
      </c>
      <c r="D31" s="158">
        <f>SUM(C31*100/C23)</f>
        <v>19.429482111089147</v>
      </c>
      <c r="E31" s="164">
        <v>13290</v>
      </c>
      <c r="F31" s="159">
        <f>SUM(E31*100/E23)</f>
        <v>30.73400860274733</v>
      </c>
      <c r="G31" s="162">
        <f t="shared" si="4"/>
        <v>13525</v>
      </c>
      <c r="H31" s="295">
        <f>SUM(G31*100/G23)</f>
        <v>19.596905065492059</v>
      </c>
      <c r="I31" s="163">
        <f t="shared" si="5"/>
        <v>11618</v>
      </c>
      <c r="J31" s="295">
        <f>SUM(I31*100/I23)</f>
        <v>35.096516932000121</v>
      </c>
      <c r="K31" s="160">
        <f t="shared" si="8"/>
        <v>-2202</v>
      </c>
      <c r="L31" s="295">
        <f t="shared" si="9"/>
        <v>-14.001398868188467</v>
      </c>
      <c r="M31" s="157">
        <f t="shared" si="6"/>
        <v>-1672</v>
      </c>
      <c r="N31" s="297">
        <f t="shared" si="7"/>
        <v>-12.580887885628291</v>
      </c>
      <c r="O31" s="586"/>
    </row>
    <row r="32" spans="2:16" ht="30" x14ac:dyDescent="0.25">
      <c r="B32" s="161" t="s">
        <v>249</v>
      </c>
      <c r="C32" s="162">
        <v>129</v>
      </c>
      <c r="D32" s="158">
        <f>SUM(C32*100/C23)</f>
        <v>0.15936944060090927</v>
      </c>
      <c r="E32" s="164">
        <v>79</v>
      </c>
      <c r="F32" s="159">
        <f>SUM(E32*100/E23)</f>
        <v>0.18269275241663196</v>
      </c>
      <c r="G32" s="162">
        <f t="shared" si="4"/>
        <v>114</v>
      </c>
      <c r="H32" s="295">
        <f>SUM(G32*100/G23)</f>
        <v>0.16517908890692012</v>
      </c>
      <c r="I32" s="163">
        <f t="shared" si="5"/>
        <v>78</v>
      </c>
      <c r="J32" s="295">
        <f>SUM(I32*100/I23)</f>
        <v>0.23562819079841707</v>
      </c>
      <c r="K32" s="160">
        <f t="shared" si="8"/>
        <v>-15</v>
      </c>
      <c r="L32" s="295">
        <f t="shared" si="9"/>
        <v>-11.627906976744185</v>
      </c>
      <c r="M32" s="157">
        <f t="shared" si="6"/>
        <v>-1</v>
      </c>
      <c r="N32" s="297">
        <f t="shared" si="7"/>
        <v>-1.2658227848101267</v>
      </c>
      <c r="O32" s="586"/>
    </row>
    <row r="33" spans="2:15" ht="15.75" thickBot="1" x14ac:dyDescent="0.3">
      <c r="B33" s="167" t="s">
        <v>250</v>
      </c>
      <c r="C33" s="168">
        <v>3377</v>
      </c>
      <c r="D33" s="169">
        <f>SUM(C33*100/C23)</f>
        <v>4.1720201620873691</v>
      </c>
      <c r="E33" s="171">
        <v>1570</v>
      </c>
      <c r="F33" s="293">
        <f>SUM(E33*100/E23)</f>
        <v>3.6307293834697747</v>
      </c>
      <c r="G33" s="168">
        <f t="shared" si="4"/>
        <v>4359</v>
      </c>
      <c r="H33" s="169">
        <f>SUM(G33*100/G23)</f>
        <v>6.3159267416251303</v>
      </c>
      <c r="I33" s="170">
        <f t="shared" si="5"/>
        <v>1987</v>
      </c>
      <c r="J33" s="169">
        <f>SUM(I33*100/I23)</f>
        <v>6.0024771168776248</v>
      </c>
      <c r="K33" s="119">
        <f t="shared" si="8"/>
        <v>982</v>
      </c>
      <c r="L33" s="212">
        <f t="shared" si="9"/>
        <v>29.07906425821735</v>
      </c>
      <c r="M33" s="121">
        <f t="shared" si="6"/>
        <v>417</v>
      </c>
      <c r="N33" s="122">
        <f t="shared" si="7"/>
        <v>26.560509554140125</v>
      </c>
      <c r="O33" s="577"/>
    </row>
  </sheetData>
  <mergeCells count="21">
    <mergeCell ref="B20:B22"/>
    <mergeCell ref="K5:L5"/>
    <mergeCell ref="M5:N5"/>
    <mergeCell ref="B2:N2"/>
    <mergeCell ref="B4:B6"/>
    <mergeCell ref="G4:J4"/>
    <mergeCell ref="C4:F4"/>
    <mergeCell ref="K4:N4"/>
    <mergeCell ref="G5:H5"/>
    <mergeCell ref="I5:J5"/>
    <mergeCell ref="C5:D5"/>
    <mergeCell ref="E5:F5"/>
    <mergeCell ref="G21:H21"/>
    <mergeCell ref="I21:J21"/>
    <mergeCell ref="K21:L21"/>
    <mergeCell ref="M21:N21"/>
    <mergeCell ref="C20:F20"/>
    <mergeCell ref="C21:D21"/>
    <mergeCell ref="E21:F21"/>
    <mergeCell ref="G20:J20"/>
    <mergeCell ref="K20:N20"/>
  </mergeCells>
  <pageMargins left="0.70866141732283472" right="0.70866141732283472" top="1.3779527559055118" bottom="0" header="0.31496062992125984" footer="0.31496062992125984"/>
  <pageSetup paperSize="9"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1:R37"/>
  <sheetViews>
    <sheetView workbookViewId="0">
      <selection activeCell="B1" sqref="B1"/>
    </sheetView>
  </sheetViews>
  <sheetFormatPr defaultColWidth="9.140625" defaultRowHeight="15" x14ac:dyDescent="0.25"/>
  <cols>
    <col min="1" max="1" width="3.28515625" style="84" customWidth="1"/>
    <col min="2" max="2" width="23.42578125" style="84" customWidth="1"/>
    <col min="3" max="3" width="9.42578125" style="84" customWidth="1"/>
    <col min="4" max="4" width="9.28515625" style="84" customWidth="1"/>
    <col min="5" max="5" width="8.85546875" style="84" customWidth="1"/>
    <col min="6" max="6" width="9.140625" style="84"/>
    <col min="7" max="7" width="8.42578125" style="84" customWidth="1"/>
    <col min="8" max="8" width="8.28515625" style="84" customWidth="1"/>
    <col min="9" max="10" width="9.28515625" style="84" bestFit="1" customWidth="1"/>
    <col min="11" max="11" width="8" style="84" customWidth="1"/>
    <col min="12" max="13" width="9.140625" style="84"/>
    <col min="14" max="14" width="8.28515625" style="84" customWidth="1"/>
    <col min="15" max="15" width="9.140625" style="84"/>
    <col min="16" max="16" width="11.28515625" style="84" customWidth="1"/>
    <col min="17" max="16384" width="9.140625" style="84"/>
  </cols>
  <sheetData>
    <row r="1" spans="2:18" ht="12" customHeight="1" x14ac:dyDescent="0.25"/>
    <row r="2" spans="2:18" x14ac:dyDescent="0.25">
      <c r="B2" s="11" t="s">
        <v>428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8" x14ac:dyDescent="0.25">
      <c r="B3" s="11" t="s">
        <v>374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18" ht="14.25" customHeight="1" thickBot="1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2:18" ht="17.25" customHeight="1" thickBot="1" x14ac:dyDescent="0.3">
      <c r="B5" s="927" t="s">
        <v>117</v>
      </c>
      <c r="C5" s="890" t="s">
        <v>472</v>
      </c>
      <c r="D5" s="891"/>
      <c r="E5" s="891"/>
      <c r="F5" s="891"/>
      <c r="G5" s="891"/>
      <c r="H5" s="891"/>
      <c r="I5" s="891"/>
      <c r="J5" s="891"/>
      <c r="K5" s="891"/>
      <c r="L5" s="891"/>
      <c r="M5" s="891"/>
      <c r="N5" s="892"/>
    </row>
    <row r="6" spans="2:18" ht="21" customHeight="1" x14ac:dyDescent="0.25">
      <c r="B6" s="984"/>
      <c r="C6" s="897" t="s">
        <v>120</v>
      </c>
      <c r="D6" s="924"/>
      <c r="E6" s="898"/>
      <c r="F6" s="897" t="s">
        <v>251</v>
      </c>
      <c r="G6" s="924"/>
      <c r="H6" s="924"/>
      <c r="I6" s="924"/>
      <c r="J6" s="924"/>
      <c r="K6" s="924"/>
      <c r="L6" s="924"/>
      <c r="M6" s="924"/>
      <c r="N6" s="898"/>
    </row>
    <row r="7" spans="2:18" ht="17.25" customHeight="1" thickBot="1" x14ac:dyDescent="0.3">
      <c r="B7" s="984"/>
      <c r="C7" s="985"/>
      <c r="D7" s="986"/>
      <c r="E7" s="987"/>
      <c r="F7" s="975" t="s">
        <v>170</v>
      </c>
      <c r="G7" s="972"/>
      <c r="H7" s="972"/>
      <c r="I7" s="972" t="s">
        <v>104</v>
      </c>
      <c r="J7" s="972"/>
      <c r="K7" s="972"/>
      <c r="L7" s="972" t="s">
        <v>171</v>
      </c>
      <c r="M7" s="972"/>
      <c r="N7" s="973"/>
    </row>
    <row r="8" spans="2:18" ht="18" customHeight="1" x14ac:dyDescent="0.25">
      <c r="B8" s="984"/>
      <c r="C8" s="974" t="s">
        <v>4</v>
      </c>
      <c r="D8" s="976" t="s">
        <v>103</v>
      </c>
      <c r="E8" s="977"/>
      <c r="F8" s="906" t="s">
        <v>4</v>
      </c>
      <c r="G8" s="957" t="s">
        <v>103</v>
      </c>
      <c r="H8" s="957"/>
      <c r="I8" s="957" t="s">
        <v>4</v>
      </c>
      <c r="J8" s="957" t="s">
        <v>103</v>
      </c>
      <c r="K8" s="957"/>
      <c r="L8" s="979" t="s">
        <v>4</v>
      </c>
      <c r="M8" s="981" t="s">
        <v>103</v>
      </c>
      <c r="N8" s="982"/>
    </row>
    <row r="9" spans="2:18" ht="15.75" thickBot="1" x14ac:dyDescent="0.3">
      <c r="B9" s="940"/>
      <c r="C9" s="975"/>
      <c r="D9" s="283" t="s">
        <v>121</v>
      </c>
      <c r="E9" s="284" t="s">
        <v>484</v>
      </c>
      <c r="F9" s="926"/>
      <c r="G9" s="702" t="s">
        <v>121</v>
      </c>
      <c r="H9" s="702" t="s">
        <v>484</v>
      </c>
      <c r="I9" s="972"/>
      <c r="J9" s="702" t="s">
        <v>121</v>
      </c>
      <c r="K9" s="702" t="s">
        <v>484</v>
      </c>
      <c r="L9" s="980"/>
      <c r="M9" s="283" t="s">
        <v>121</v>
      </c>
      <c r="N9" s="685" t="s">
        <v>484</v>
      </c>
    </row>
    <row r="10" spans="2:18" ht="26.25" customHeight="1" thickBot="1" x14ac:dyDescent="0.3">
      <c r="B10" s="307" t="s">
        <v>22</v>
      </c>
      <c r="C10" s="308">
        <f>SUM(C11:C35)</f>
        <v>69016</v>
      </c>
      <c r="D10" s="309">
        <f>SUM(D11:D35)</f>
        <v>37256</v>
      </c>
      <c r="E10" s="310">
        <f>D10/C10*100</f>
        <v>53.981685406282601</v>
      </c>
      <c r="F10" s="308">
        <f>SUM(F11:F35)</f>
        <v>16579</v>
      </c>
      <c r="G10" s="309">
        <f>SUM(G11:G35)</f>
        <v>9496</v>
      </c>
      <c r="H10" s="340">
        <f>G10/F10*100</f>
        <v>57.277278484830205</v>
      </c>
      <c r="I10" s="309">
        <f>SUM(I11:I35)</f>
        <v>35069</v>
      </c>
      <c r="J10" s="309">
        <f>SUM(J11:J35)</f>
        <v>21163</v>
      </c>
      <c r="K10" s="340">
        <f>J10/I10*100</f>
        <v>60.346744988451341</v>
      </c>
      <c r="L10" s="309">
        <f>SUM(L11:L35)</f>
        <v>17368</v>
      </c>
      <c r="M10" s="309">
        <f>SUM(M11:M35)</f>
        <v>6597</v>
      </c>
      <c r="N10" s="310">
        <f>M10/L10*100</f>
        <v>37.983648088438507</v>
      </c>
      <c r="P10" s="690" t="s">
        <v>497</v>
      </c>
      <c r="Q10" s="632"/>
      <c r="R10" s="632"/>
    </row>
    <row r="11" spans="2:18" ht="15.75" thickTop="1" x14ac:dyDescent="0.25">
      <c r="B11" s="201" t="s">
        <v>23</v>
      </c>
      <c r="C11" s="205">
        <v>1033</v>
      </c>
      <c r="D11" s="206">
        <v>555</v>
      </c>
      <c r="E11" s="60">
        <f>D11/C11*100</f>
        <v>53.727008712487901</v>
      </c>
      <c r="F11" s="205">
        <v>277</v>
      </c>
      <c r="G11" s="206">
        <v>161</v>
      </c>
      <c r="H11" s="304">
        <f>G11/F11*100</f>
        <v>58.122743682310471</v>
      </c>
      <c r="I11" s="206">
        <f>SUM(C11)-(F11+L11)</f>
        <v>517</v>
      </c>
      <c r="J11" s="206">
        <f>SUM(D11)-(G11+M11)</f>
        <v>295</v>
      </c>
      <c r="K11" s="304">
        <f>J11/I11*100</f>
        <v>57.059961315280461</v>
      </c>
      <c r="L11" s="206">
        <v>239</v>
      </c>
      <c r="M11" s="206">
        <v>99</v>
      </c>
      <c r="N11" s="60">
        <f t="shared" ref="N11:N35" si="0">M11/L11*100</f>
        <v>41.422594142259413</v>
      </c>
      <c r="P11" s="691" t="s">
        <v>386</v>
      </c>
      <c r="Q11" s="634">
        <f>SUM(F10)</f>
        <v>16579</v>
      </c>
      <c r="R11" s="635">
        <f>SUM(Q11/C10)*100</f>
        <v>24.021965920945867</v>
      </c>
    </row>
    <row r="12" spans="2:18" x14ac:dyDescent="0.25">
      <c r="B12" s="202" t="s">
        <v>24</v>
      </c>
      <c r="C12" s="56">
        <v>3904</v>
      </c>
      <c r="D12" s="9">
        <v>2085</v>
      </c>
      <c r="E12" s="7">
        <f>D12/C12*100</f>
        <v>53.406762295081968</v>
      </c>
      <c r="F12" s="56">
        <v>925</v>
      </c>
      <c r="G12" s="9">
        <v>463</v>
      </c>
      <c r="H12" s="10">
        <f>G12/F12*100</f>
        <v>50.054054054054056</v>
      </c>
      <c r="I12" s="9">
        <f t="shared" ref="I12:I35" si="1">SUM(C12)-(F12+L12)</f>
        <v>1985</v>
      </c>
      <c r="J12" s="9">
        <f t="shared" ref="J12:J35" si="2">SUM(D12)-(G12+M12)</f>
        <v>1200</v>
      </c>
      <c r="K12" s="10">
        <f t="shared" ref="K12:K35" si="3">J12/I12*100</f>
        <v>60.45340050377834</v>
      </c>
      <c r="L12" s="9">
        <v>994</v>
      </c>
      <c r="M12" s="9">
        <v>422</v>
      </c>
      <c r="N12" s="7">
        <f t="shared" si="0"/>
        <v>42.454728370221332</v>
      </c>
      <c r="P12" s="692" t="s">
        <v>387</v>
      </c>
      <c r="Q12" s="636">
        <f>SUM(I10)</f>
        <v>35069</v>
      </c>
      <c r="R12" s="637">
        <f>SUM(Q12/C10)*100</f>
        <v>50.812854990147216</v>
      </c>
    </row>
    <row r="13" spans="2:18" x14ac:dyDescent="0.25">
      <c r="B13" s="202" t="s">
        <v>25</v>
      </c>
      <c r="C13" s="56">
        <v>2394</v>
      </c>
      <c r="D13" s="9">
        <v>1534</v>
      </c>
      <c r="E13" s="7">
        <f t="shared" ref="E13:E35" si="4">D13/C13*100</f>
        <v>64.076858813700923</v>
      </c>
      <c r="F13" s="56">
        <v>621</v>
      </c>
      <c r="G13" s="9">
        <v>418</v>
      </c>
      <c r="H13" s="10">
        <f>G13/F13*100</f>
        <v>67.310789049919478</v>
      </c>
      <c r="I13" s="9">
        <f t="shared" si="1"/>
        <v>1176</v>
      </c>
      <c r="J13" s="9">
        <f t="shared" si="2"/>
        <v>847</v>
      </c>
      <c r="K13" s="10">
        <f t="shared" si="3"/>
        <v>72.023809523809518</v>
      </c>
      <c r="L13" s="9">
        <v>597</v>
      </c>
      <c r="M13" s="9">
        <v>269</v>
      </c>
      <c r="N13" s="7">
        <f t="shared" si="0"/>
        <v>45.058626465661646</v>
      </c>
      <c r="P13" s="691" t="s">
        <v>388</v>
      </c>
      <c r="Q13" s="634">
        <f>SUM(L10)</f>
        <v>17368</v>
      </c>
      <c r="R13" s="635">
        <f>SUM(Q13/C10)*100</f>
        <v>25.165179088906918</v>
      </c>
    </row>
    <row r="14" spans="2:18" x14ac:dyDescent="0.25">
      <c r="B14" s="202" t="s">
        <v>26</v>
      </c>
      <c r="C14" s="56">
        <v>4646</v>
      </c>
      <c r="D14" s="9">
        <v>2541</v>
      </c>
      <c r="E14" s="7">
        <f t="shared" si="4"/>
        <v>54.692208351269912</v>
      </c>
      <c r="F14" s="56">
        <v>1144</v>
      </c>
      <c r="G14" s="9">
        <v>689</v>
      </c>
      <c r="H14" s="10">
        <f>G14/F14*100</f>
        <v>60.227272727272727</v>
      </c>
      <c r="I14" s="9">
        <f t="shared" si="1"/>
        <v>2359</v>
      </c>
      <c r="J14" s="9">
        <f t="shared" si="2"/>
        <v>1433</v>
      </c>
      <c r="K14" s="10">
        <f t="shared" si="3"/>
        <v>60.746078846969056</v>
      </c>
      <c r="L14" s="9">
        <v>1143</v>
      </c>
      <c r="M14" s="9">
        <v>419</v>
      </c>
      <c r="N14" s="7">
        <f t="shared" si="0"/>
        <v>36.657917760279965</v>
      </c>
      <c r="P14" s="633"/>
      <c r="Q14" s="634">
        <f>SUM(Q11:Q13)</f>
        <v>69016</v>
      </c>
      <c r="R14" s="635">
        <f>SUM(R11:R13)</f>
        <v>100</v>
      </c>
    </row>
    <row r="15" spans="2:18" x14ac:dyDescent="0.25">
      <c r="B15" s="202" t="s">
        <v>27</v>
      </c>
      <c r="C15" s="56">
        <v>4770</v>
      </c>
      <c r="D15" s="9">
        <v>2833</v>
      </c>
      <c r="E15" s="7">
        <f t="shared" si="4"/>
        <v>59.392033542976939</v>
      </c>
      <c r="F15" s="56">
        <v>1067</v>
      </c>
      <c r="G15" s="9">
        <v>636</v>
      </c>
      <c r="H15" s="10">
        <f t="shared" ref="H15:H33" si="5">G15/F15*100</f>
        <v>59.606373008434865</v>
      </c>
      <c r="I15" s="9">
        <f t="shared" si="1"/>
        <v>2581</v>
      </c>
      <c r="J15" s="9">
        <f t="shared" si="2"/>
        <v>1699</v>
      </c>
      <c r="K15" s="10">
        <f t="shared" si="3"/>
        <v>65.827198760170475</v>
      </c>
      <c r="L15" s="9">
        <v>1122</v>
      </c>
      <c r="M15" s="9">
        <v>498</v>
      </c>
      <c r="N15" s="7">
        <f>M15/L15*100</f>
        <v>44.385026737967912</v>
      </c>
    </row>
    <row r="16" spans="2:18" x14ac:dyDescent="0.25">
      <c r="B16" s="202" t="s">
        <v>28</v>
      </c>
      <c r="C16" s="56">
        <v>1621</v>
      </c>
      <c r="D16" s="9">
        <v>864</v>
      </c>
      <c r="E16" s="7">
        <f t="shared" si="4"/>
        <v>53.300431832202342</v>
      </c>
      <c r="F16" s="56">
        <v>411</v>
      </c>
      <c r="G16" s="9">
        <v>236</v>
      </c>
      <c r="H16" s="10">
        <f t="shared" si="5"/>
        <v>57.420924574209245</v>
      </c>
      <c r="I16" s="9">
        <f t="shared" si="1"/>
        <v>745</v>
      </c>
      <c r="J16" s="9">
        <f t="shared" si="2"/>
        <v>461</v>
      </c>
      <c r="K16" s="10">
        <f>J16/I16*100</f>
        <v>61.879194630872483</v>
      </c>
      <c r="L16" s="9">
        <v>465</v>
      </c>
      <c r="M16" s="9">
        <v>167</v>
      </c>
      <c r="N16" s="7">
        <f t="shared" si="0"/>
        <v>35.913978494623656</v>
      </c>
    </row>
    <row r="17" spans="2:14" x14ac:dyDescent="0.25">
      <c r="B17" s="202" t="s">
        <v>29</v>
      </c>
      <c r="C17" s="56">
        <v>1824</v>
      </c>
      <c r="D17" s="9">
        <v>1038</v>
      </c>
      <c r="E17" s="7">
        <f>D17/C17*100</f>
        <v>56.907894736842103</v>
      </c>
      <c r="F17" s="56">
        <v>381</v>
      </c>
      <c r="G17" s="9">
        <v>255</v>
      </c>
      <c r="H17" s="10">
        <f t="shared" si="5"/>
        <v>66.929133858267718</v>
      </c>
      <c r="I17" s="9">
        <f t="shared" si="1"/>
        <v>904</v>
      </c>
      <c r="J17" s="9">
        <f t="shared" si="2"/>
        <v>572</v>
      </c>
      <c r="K17" s="10">
        <f t="shared" si="3"/>
        <v>63.274336283185839</v>
      </c>
      <c r="L17" s="9">
        <v>539</v>
      </c>
      <c r="M17" s="9">
        <v>211</v>
      </c>
      <c r="N17" s="7">
        <f>M17/L17*100</f>
        <v>39.146567717996291</v>
      </c>
    </row>
    <row r="18" spans="2:14" x14ac:dyDescent="0.25">
      <c r="B18" s="202" t="s">
        <v>30</v>
      </c>
      <c r="C18" s="56">
        <v>1560</v>
      </c>
      <c r="D18" s="9">
        <v>722</v>
      </c>
      <c r="E18" s="7">
        <f t="shared" si="4"/>
        <v>46.282051282051285</v>
      </c>
      <c r="F18" s="56">
        <v>412</v>
      </c>
      <c r="G18" s="9">
        <v>202</v>
      </c>
      <c r="H18" s="10">
        <f>G18/F18*100</f>
        <v>49.029126213592235</v>
      </c>
      <c r="I18" s="9">
        <f t="shared" si="1"/>
        <v>768</v>
      </c>
      <c r="J18" s="9">
        <f t="shared" si="2"/>
        <v>388</v>
      </c>
      <c r="K18" s="10">
        <f t="shared" si="3"/>
        <v>50.520833333333336</v>
      </c>
      <c r="L18" s="9">
        <v>380</v>
      </c>
      <c r="M18" s="9">
        <v>132</v>
      </c>
      <c r="N18" s="7">
        <f>M18/L18*100</f>
        <v>34.736842105263158</v>
      </c>
    </row>
    <row r="19" spans="2:14" x14ac:dyDescent="0.25">
      <c r="B19" s="202" t="s">
        <v>31</v>
      </c>
      <c r="C19" s="56">
        <v>3283</v>
      </c>
      <c r="D19" s="9">
        <v>1692</v>
      </c>
      <c r="E19" s="7">
        <f t="shared" si="4"/>
        <v>51.53822723119098</v>
      </c>
      <c r="F19" s="56">
        <v>898</v>
      </c>
      <c r="G19" s="9">
        <v>457</v>
      </c>
      <c r="H19" s="10">
        <f t="shared" si="5"/>
        <v>50.890868596881958</v>
      </c>
      <c r="I19" s="9">
        <f t="shared" si="1"/>
        <v>1655</v>
      </c>
      <c r="J19" s="9">
        <f t="shared" si="2"/>
        <v>945</v>
      </c>
      <c r="K19" s="10">
        <f>J19/I19*100</f>
        <v>57.099697885196377</v>
      </c>
      <c r="L19" s="9">
        <v>730</v>
      </c>
      <c r="M19" s="9">
        <v>290</v>
      </c>
      <c r="N19" s="7">
        <f>M19/L19*100</f>
        <v>39.726027397260275</v>
      </c>
    </row>
    <row r="20" spans="2:14" x14ac:dyDescent="0.25">
      <c r="B20" s="202" t="s">
        <v>32</v>
      </c>
      <c r="C20" s="56">
        <v>1669</v>
      </c>
      <c r="D20" s="9">
        <v>764</v>
      </c>
      <c r="E20" s="7">
        <f t="shared" si="4"/>
        <v>45.775913720790896</v>
      </c>
      <c r="F20" s="56">
        <v>423</v>
      </c>
      <c r="G20" s="9">
        <v>229</v>
      </c>
      <c r="H20" s="10">
        <f t="shared" si="5"/>
        <v>54.137115839243499</v>
      </c>
      <c r="I20" s="9">
        <f t="shared" si="1"/>
        <v>787</v>
      </c>
      <c r="J20" s="9">
        <f t="shared" si="2"/>
        <v>406</v>
      </c>
      <c r="K20" s="10">
        <f t="shared" si="3"/>
        <v>51.588310038119445</v>
      </c>
      <c r="L20" s="9">
        <v>459</v>
      </c>
      <c r="M20" s="9">
        <v>129</v>
      </c>
      <c r="N20" s="7">
        <f>M20/L20*100</f>
        <v>28.104575163398692</v>
      </c>
    </row>
    <row r="21" spans="2:14" x14ac:dyDescent="0.25">
      <c r="B21" s="202" t="s">
        <v>33</v>
      </c>
      <c r="C21" s="56">
        <v>2858</v>
      </c>
      <c r="D21" s="9">
        <v>1502</v>
      </c>
      <c r="E21" s="7">
        <f t="shared" si="4"/>
        <v>52.554233729881041</v>
      </c>
      <c r="F21" s="56">
        <v>795</v>
      </c>
      <c r="G21" s="9">
        <v>429</v>
      </c>
      <c r="H21" s="10">
        <f>G21/F21*100</f>
        <v>53.962264150943398</v>
      </c>
      <c r="I21" s="9">
        <f t="shared" si="1"/>
        <v>1372</v>
      </c>
      <c r="J21" s="9">
        <f t="shared" si="2"/>
        <v>816</v>
      </c>
      <c r="K21" s="10">
        <f t="shared" si="3"/>
        <v>59.475218658892125</v>
      </c>
      <c r="L21" s="9">
        <v>691</v>
      </c>
      <c r="M21" s="9">
        <v>257</v>
      </c>
      <c r="N21" s="7">
        <f t="shared" si="0"/>
        <v>37.192474674384954</v>
      </c>
    </row>
    <row r="22" spans="2:14" x14ac:dyDescent="0.25">
      <c r="B22" s="202" t="s">
        <v>34</v>
      </c>
      <c r="C22" s="56">
        <v>2520</v>
      </c>
      <c r="D22" s="9">
        <v>1361</v>
      </c>
      <c r="E22" s="7">
        <f t="shared" si="4"/>
        <v>54.007936507936506</v>
      </c>
      <c r="F22" s="56">
        <v>576</v>
      </c>
      <c r="G22" s="9">
        <v>334</v>
      </c>
      <c r="H22" s="10">
        <f t="shared" si="5"/>
        <v>57.986111111111114</v>
      </c>
      <c r="I22" s="9">
        <f t="shared" si="1"/>
        <v>1263</v>
      </c>
      <c r="J22" s="9">
        <f t="shared" si="2"/>
        <v>782</v>
      </c>
      <c r="K22" s="10">
        <f t="shared" si="3"/>
        <v>61.916072842438638</v>
      </c>
      <c r="L22" s="9">
        <v>681</v>
      </c>
      <c r="M22" s="9">
        <v>245</v>
      </c>
      <c r="N22" s="7">
        <f t="shared" si="0"/>
        <v>35.976505139500738</v>
      </c>
    </row>
    <row r="23" spans="2:14" x14ac:dyDescent="0.25">
      <c r="B23" s="202" t="s">
        <v>35</v>
      </c>
      <c r="C23" s="56">
        <v>3137</v>
      </c>
      <c r="D23" s="9">
        <v>1638</v>
      </c>
      <c r="E23" s="7">
        <f t="shared" si="4"/>
        <v>52.215492508766339</v>
      </c>
      <c r="F23" s="56">
        <v>791</v>
      </c>
      <c r="G23" s="9">
        <v>440</v>
      </c>
      <c r="H23" s="10">
        <f t="shared" si="5"/>
        <v>55.625790139064478</v>
      </c>
      <c r="I23" s="9">
        <f t="shared" si="1"/>
        <v>1559</v>
      </c>
      <c r="J23" s="9">
        <f t="shared" si="2"/>
        <v>902</v>
      </c>
      <c r="K23" s="10">
        <f t="shared" si="3"/>
        <v>57.857601026298909</v>
      </c>
      <c r="L23" s="9">
        <v>787</v>
      </c>
      <c r="M23" s="9">
        <v>296</v>
      </c>
      <c r="N23" s="7">
        <f t="shared" si="0"/>
        <v>37.611181702668361</v>
      </c>
    </row>
    <row r="24" spans="2:14" x14ac:dyDescent="0.25">
      <c r="B24" s="203" t="s">
        <v>36</v>
      </c>
      <c r="C24" s="117">
        <v>3068</v>
      </c>
      <c r="D24" s="118">
        <v>1646</v>
      </c>
      <c r="E24" s="7">
        <f t="shared" si="4"/>
        <v>53.650586701434158</v>
      </c>
      <c r="F24" s="117">
        <v>787</v>
      </c>
      <c r="G24" s="118">
        <v>441</v>
      </c>
      <c r="H24" s="10">
        <f t="shared" si="5"/>
        <v>56.035578144853872</v>
      </c>
      <c r="I24" s="118">
        <f t="shared" si="1"/>
        <v>1547</v>
      </c>
      <c r="J24" s="118">
        <f t="shared" si="2"/>
        <v>929</v>
      </c>
      <c r="K24" s="10">
        <f t="shared" si="3"/>
        <v>60.051712992889463</v>
      </c>
      <c r="L24" s="118">
        <v>734</v>
      </c>
      <c r="M24" s="118">
        <v>276</v>
      </c>
      <c r="N24" s="7">
        <f t="shared" si="0"/>
        <v>37.602179836512263</v>
      </c>
    </row>
    <row r="25" spans="2:14" x14ac:dyDescent="0.25">
      <c r="B25" s="203" t="s">
        <v>37</v>
      </c>
      <c r="C25" s="117">
        <v>3498</v>
      </c>
      <c r="D25" s="118">
        <v>2024</v>
      </c>
      <c r="E25" s="7">
        <f t="shared" si="4"/>
        <v>57.861635220125784</v>
      </c>
      <c r="F25" s="117">
        <v>949</v>
      </c>
      <c r="G25" s="118">
        <v>570</v>
      </c>
      <c r="H25" s="10">
        <f>G25/F25*100</f>
        <v>60.063224446786087</v>
      </c>
      <c r="I25" s="118">
        <f t="shared" si="1"/>
        <v>1828</v>
      </c>
      <c r="J25" s="118">
        <f t="shared" si="2"/>
        <v>1162</v>
      </c>
      <c r="K25" s="10">
        <f t="shared" si="3"/>
        <v>63.566739606126909</v>
      </c>
      <c r="L25" s="118">
        <v>721</v>
      </c>
      <c r="M25" s="118">
        <v>292</v>
      </c>
      <c r="N25" s="7">
        <f t="shared" si="0"/>
        <v>40.499306518723991</v>
      </c>
    </row>
    <row r="26" spans="2:14" x14ac:dyDescent="0.25">
      <c r="B26" s="203" t="s">
        <v>38</v>
      </c>
      <c r="C26" s="117">
        <v>2974</v>
      </c>
      <c r="D26" s="118">
        <v>1658</v>
      </c>
      <c r="E26" s="7">
        <f t="shared" si="4"/>
        <v>55.749831876260927</v>
      </c>
      <c r="F26" s="117">
        <v>826</v>
      </c>
      <c r="G26" s="118">
        <v>480</v>
      </c>
      <c r="H26" s="10">
        <f t="shared" si="5"/>
        <v>58.111380145278446</v>
      </c>
      <c r="I26" s="118">
        <f t="shared" si="1"/>
        <v>1479</v>
      </c>
      <c r="J26" s="118">
        <f t="shared" si="2"/>
        <v>919</v>
      </c>
      <c r="K26" s="10">
        <f t="shared" si="3"/>
        <v>62.136578769438813</v>
      </c>
      <c r="L26" s="118">
        <v>669</v>
      </c>
      <c r="M26" s="118">
        <v>259</v>
      </c>
      <c r="N26" s="7">
        <f t="shared" si="0"/>
        <v>38.714499252615845</v>
      </c>
    </row>
    <row r="27" spans="2:14" x14ac:dyDescent="0.25">
      <c r="B27" s="203" t="s">
        <v>39</v>
      </c>
      <c r="C27" s="117">
        <v>4947</v>
      </c>
      <c r="D27" s="118">
        <v>2541</v>
      </c>
      <c r="E27" s="7">
        <f t="shared" si="4"/>
        <v>51.36446331109763</v>
      </c>
      <c r="F27" s="117">
        <v>1310</v>
      </c>
      <c r="G27" s="118">
        <v>723</v>
      </c>
      <c r="H27" s="10">
        <f t="shared" si="5"/>
        <v>55.190839694656489</v>
      </c>
      <c r="I27" s="118">
        <f t="shared" si="1"/>
        <v>2419</v>
      </c>
      <c r="J27" s="118">
        <f t="shared" si="2"/>
        <v>1428</v>
      </c>
      <c r="K27" s="10">
        <f t="shared" si="3"/>
        <v>59.032658123191403</v>
      </c>
      <c r="L27" s="118">
        <v>1218</v>
      </c>
      <c r="M27" s="118">
        <v>390</v>
      </c>
      <c r="N27" s="7">
        <f t="shared" si="0"/>
        <v>32.019704433497537</v>
      </c>
    </row>
    <row r="28" spans="2:14" x14ac:dyDescent="0.25">
      <c r="B28" s="203" t="s">
        <v>40</v>
      </c>
      <c r="C28" s="117">
        <v>2379</v>
      </c>
      <c r="D28" s="118">
        <v>1209</v>
      </c>
      <c r="E28" s="7">
        <f t="shared" si="4"/>
        <v>50.819672131147541</v>
      </c>
      <c r="F28" s="117">
        <v>590</v>
      </c>
      <c r="G28" s="118">
        <v>340</v>
      </c>
      <c r="H28" s="10">
        <f>G28/F28*100</f>
        <v>57.627118644067799</v>
      </c>
      <c r="I28" s="118">
        <f t="shared" si="1"/>
        <v>1199</v>
      </c>
      <c r="J28" s="118">
        <f t="shared" si="2"/>
        <v>663</v>
      </c>
      <c r="K28" s="10">
        <f t="shared" si="3"/>
        <v>55.296080066722261</v>
      </c>
      <c r="L28" s="118">
        <v>590</v>
      </c>
      <c r="M28" s="118">
        <v>206</v>
      </c>
      <c r="N28" s="7">
        <f t="shared" si="0"/>
        <v>34.915254237288131</v>
      </c>
    </row>
    <row r="29" spans="2:14" x14ac:dyDescent="0.25">
      <c r="B29" s="203" t="s">
        <v>41</v>
      </c>
      <c r="C29" s="117">
        <v>1948</v>
      </c>
      <c r="D29" s="118">
        <v>1091</v>
      </c>
      <c r="E29" s="7">
        <f t="shared" si="4"/>
        <v>56.006160164271044</v>
      </c>
      <c r="F29" s="117">
        <v>446</v>
      </c>
      <c r="G29" s="118">
        <v>278</v>
      </c>
      <c r="H29" s="10">
        <f t="shared" si="5"/>
        <v>62.331838565022423</v>
      </c>
      <c r="I29" s="118">
        <f t="shared" si="1"/>
        <v>932</v>
      </c>
      <c r="J29" s="118">
        <f t="shared" si="2"/>
        <v>598</v>
      </c>
      <c r="K29" s="10">
        <f t="shared" si="3"/>
        <v>64.163090128755357</v>
      </c>
      <c r="L29" s="118">
        <v>570</v>
      </c>
      <c r="M29" s="118">
        <v>215</v>
      </c>
      <c r="N29" s="7">
        <f t="shared" si="0"/>
        <v>37.719298245614034</v>
      </c>
    </row>
    <row r="30" spans="2:14" x14ac:dyDescent="0.25">
      <c r="B30" s="203" t="s">
        <v>42</v>
      </c>
      <c r="C30" s="117">
        <v>3233</v>
      </c>
      <c r="D30" s="118">
        <v>1755</v>
      </c>
      <c r="E30" s="7">
        <f t="shared" si="4"/>
        <v>54.283946798639036</v>
      </c>
      <c r="F30" s="117">
        <v>865</v>
      </c>
      <c r="G30" s="118">
        <v>471</v>
      </c>
      <c r="H30" s="10">
        <f t="shared" si="5"/>
        <v>54.450867052023121</v>
      </c>
      <c r="I30" s="118">
        <f t="shared" si="1"/>
        <v>1594</v>
      </c>
      <c r="J30" s="118">
        <f t="shared" si="2"/>
        <v>986</v>
      </c>
      <c r="K30" s="10">
        <f t="shared" si="3"/>
        <v>61.856963613550818</v>
      </c>
      <c r="L30" s="118">
        <v>774</v>
      </c>
      <c r="M30" s="118">
        <v>298</v>
      </c>
      <c r="N30" s="7">
        <f t="shared" si="0"/>
        <v>38.501291989664082</v>
      </c>
    </row>
    <row r="31" spans="2:14" x14ac:dyDescent="0.25">
      <c r="B31" s="203" t="s">
        <v>43</v>
      </c>
      <c r="C31" s="117">
        <v>1407</v>
      </c>
      <c r="D31" s="118">
        <v>774</v>
      </c>
      <c r="E31" s="7">
        <f t="shared" si="4"/>
        <v>55.010660980810236</v>
      </c>
      <c r="F31" s="117">
        <v>339</v>
      </c>
      <c r="G31" s="118">
        <v>213</v>
      </c>
      <c r="H31" s="10">
        <f t="shared" si="5"/>
        <v>62.831858407079643</v>
      </c>
      <c r="I31" s="118">
        <f t="shared" si="1"/>
        <v>689</v>
      </c>
      <c r="J31" s="118">
        <f t="shared" si="2"/>
        <v>437</v>
      </c>
      <c r="K31" s="10">
        <f t="shared" si="3"/>
        <v>63.425253991291733</v>
      </c>
      <c r="L31" s="118">
        <v>379</v>
      </c>
      <c r="M31" s="118">
        <v>124</v>
      </c>
      <c r="N31" s="7">
        <f t="shared" si="0"/>
        <v>32.717678100263853</v>
      </c>
    </row>
    <row r="32" spans="2:14" x14ac:dyDescent="0.25">
      <c r="B32" s="203" t="s">
        <v>44</v>
      </c>
      <c r="C32" s="117">
        <v>734</v>
      </c>
      <c r="D32" s="118">
        <v>423</v>
      </c>
      <c r="E32" s="7">
        <f t="shared" si="4"/>
        <v>57.629427792915536</v>
      </c>
      <c r="F32" s="117">
        <v>113</v>
      </c>
      <c r="G32" s="118">
        <v>73</v>
      </c>
      <c r="H32" s="10">
        <f>G32/F32*100</f>
        <v>64.601769911504419</v>
      </c>
      <c r="I32" s="118">
        <f t="shared" si="1"/>
        <v>434</v>
      </c>
      <c r="J32" s="118">
        <f t="shared" si="2"/>
        <v>278</v>
      </c>
      <c r="K32" s="10">
        <f t="shared" si="3"/>
        <v>64.055299539170505</v>
      </c>
      <c r="L32" s="118">
        <v>187</v>
      </c>
      <c r="M32" s="118">
        <v>72</v>
      </c>
      <c r="N32" s="7">
        <f t="shared" si="0"/>
        <v>38.502673796791441</v>
      </c>
    </row>
    <row r="33" spans="2:14" x14ac:dyDescent="0.25">
      <c r="B33" s="203" t="s">
        <v>45</v>
      </c>
      <c r="C33" s="117">
        <v>2593</v>
      </c>
      <c r="D33" s="118">
        <v>1322</v>
      </c>
      <c r="E33" s="7">
        <f t="shared" si="4"/>
        <v>50.983416891631315</v>
      </c>
      <c r="F33" s="117">
        <v>407</v>
      </c>
      <c r="G33" s="118">
        <v>236</v>
      </c>
      <c r="H33" s="10">
        <f t="shared" si="5"/>
        <v>57.985257985257988</v>
      </c>
      <c r="I33" s="118">
        <f t="shared" si="1"/>
        <v>1430</v>
      </c>
      <c r="J33" s="118">
        <f t="shared" si="2"/>
        <v>778</v>
      </c>
      <c r="K33" s="10">
        <f t="shared" si="3"/>
        <v>54.405594405594407</v>
      </c>
      <c r="L33" s="118">
        <v>756</v>
      </c>
      <c r="M33" s="118">
        <v>308</v>
      </c>
      <c r="N33" s="7">
        <f t="shared" si="0"/>
        <v>40.74074074074074</v>
      </c>
    </row>
    <row r="34" spans="2:14" x14ac:dyDescent="0.25">
      <c r="B34" s="203" t="s">
        <v>46</v>
      </c>
      <c r="C34" s="117">
        <v>5823</v>
      </c>
      <c r="D34" s="118">
        <v>3057</v>
      </c>
      <c r="E34" s="7">
        <f t="shared" si="4"/>
        <v>52.498712004121586</v>
      </c>
      <c r="F34" s="117">
        <v>1008</v>
      </c>
      <c r="G34" s="118">
        <v>588</v>
      </c>
      <c r="H34" s="10">
        <f>G34/F34*100</f>
        <v>58.333333333333336</v>
      </c>
      <c r="I34" s="118">
        <f t="shared" si="1"/>
        <v>3233</v>
      </c>
      <c r="J34" s="118">
        <f t="shared" si="2"/>
        <v>1888</v>
      </c>
      <c r="K34" s="10">
        <f t="shared" si="3"/>
        <v>58.397772966285189</v>
      </c>
      <c r="L34" s="118">
        <v>1582</v>
      </c>
      <c r="M34" s="118">
        <v>581</v>
      </c>
      <c r="N34" s="7">
        <f t="shared" si="0"/>
        <v>36.725663716814161</v>
      </c>
    </row>
    <row r="35" spans="2:14" ht="15.75" thickBot="1" x14ac:dyDescent="0.3">
      <c r="B35" s="204" t="s">
        <v>47</v>
      </c>
      <c r="C35" s="119">
        <v>1193</v>
      </c>
      <c r="D35" s="121">
        <v>627</v>
      </c>
      <c r="E35" s="8">
        <f t="shared" si="4"/>
        <v>52.556580050293377</v>
      </c>
      <c r="F35" s="119">
        <v>218</v>
      </c>
      <c r="G35" s="121">
        <v>134</v>
      </c>
      <c r="H35" s="53">
        <f>G35/F35*100</f>
        <v>61.467889908256879</v>
      </c>
      <c r="I35" s="121">
        <f t="shared" si="1"/>
        <v>614</v>
      </c>
      <c r="J35" s="121">
        <f t="shared" si="2"/>
        <v>351</v>
      </c>
      <c r="K35" s="53">
        <f t="shared" si="3"/>
        <v>57.166123778501628</v>
      </c>
      <c r="L35" s="121">
        <v>361</v>
      </c>
      <c r="M35" s="121">
        <v>142</v>
      </c>
      <c r="N35" s="8">
        <f t="shared" si="0"/>
        <v>39.335180055401665</v>
      </c>
    </row>
    <row r="36" spans="2:14" ht="13.5" customHeight="1" x14ac:dyDescent="0.25">
      <c r="B36" s="983" t="s">
        <v>172</v>
      </c>
      <c r="C36" s="983"/>
      <c r="D36" s="983"/>
      <c r="E36" s="983"/>
      <c r="F36" s="983"/>
      <c r="G36" s="983"/>
      <c r="H36" s="983"/>
      <c r="I36" s="983"/>
      <c r="J36" s="983"/>
      <c r="K36" s="983"/>
      <c r="L36" s="983"/>
      <c r="M36" s="983"/>
      <c r="N36" s="983"/>
    </row>
    <row r="37" spans="2:14" ht="14.25" customHeight="1" x14ac:dyDescent="0.25">
      <c r="B37" s="978" t="s">
        <v>173</v>
      </c>
      <c r="C37" s="978"/>
      <c r="D37" s="978"/>
      <c r="E37" s="978"/>
      <c r="F37" s="978"/>
      <c r="G37" s="978"/>
      <c r="H37" s="978"/>
      <c r="I37" s="978"/>
      <c r="J37" s="978"/>
      <c r="K37" s="978"/>
      <c r="L37" s="978"/>
      <c r="M37" s="978"/>
      <c r="N37" s="978"/>
    </row>
  </sheetData>
  <mergeCells count="17">
    <mergeCell ref="I7:K7"/>
    <mergeCell ref="L7:N7"/>
    <mergeCell ref="C8:C9"/>
    <mergeCell ref="D8:E8"/>
    <mergeCell ref="F8:F9"/>
    <mergeCell ref="B37:N37"/>
    <mergeCell ref="G8:H8"/>
    <mergeCell ref="I8:I9"/>
    <mergeCell ref="J8:K8"/>
    <mergeCell ref="L8:L9"/>
    <mergeCell ref="M8:N8"/>
    <mergeCell ref="B36:N36"/>
    <mergeCell ref="B5:B9"/>
    <mergeCell ref="C5:N5"/>
    <mergeCell ref="C6:E7"/>
    <mergeCell ref="F6:N6"/>
    <mergeCell ref="F7:H7"/>
  </mergeCells>
  <printOptions horizontalCentered="1" verticalCentered="1"/>
  <pageMargins left="0" right="0" top="1.0236220472440944" bottom="0" header="0" footer="0"/>
  <pageSetup paperSize="9" scale="85" fitToWidth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T69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3.28515625" style="84" customWidth="1"/>
    <col min="2" max="2" width="23.42578125" style="84" customWidth="1"/>
    <col min="3" max="3" width="15.42578125" style="84" customWidth="1"/>
    <col min="4" max="4" width="15.85546875" style="84" customWidth="1"/>
    <col min="5" max="5" width="14.7109375" style="84" customWidth="1"/>
    <col min="6" max="6" width="14.42578125" style="84" customWidth="1"/>
    <col min="7" max="7" width="15.42578125" style="84" customWidth="1"/>
    <col min="8" max="8" width="16.7109375" style="84" customWidth="1"/>
    <col min="9" max="9" width="15.28515625" style="84" customWidth="1"/>
    <col min="10" max="10" width="15.42578125" style="84" customWidth="1"/>
    <col min="11" max="11" width="9.140625" style="84"/>
    <col min="12" max="12" width="10.85546875" style="84" customWidth="1"/>
    <col min="13" max="13" width="11.5703125" style="84" customWidth="1"/>
    <col min="14" max="14" width="10.140625" style="84" customWidth="1"/>
    <col min="15" max="15" width="11.5703125" style="84" customWidth="1"/>
    <col min="16" max="16" width="11.28515625" style="84" customWidth="1"/>
    <col min="17" max="17" width="9.140625" style="84"/>
    <col min="18" max="18" width="11.28515625" style="84" customWidth="1"/>
    <col min="19" max="19" width="10.5703125" style="84" customWidth="1"/>
    <col min="20" max="20" width="9.140625" style="84"/>
    <col min="21" max="21" width="15.28515625" style="84" customWidth="1"/>
    <col min="22" max="22" width="16" style="84" customWidth="1"/>
    <col min="23" max="23" width="14.42578125" style="84" customWidth="1"/>
    <col min="24" max="24" width="15.140625" style="84" customWidth="1"/>
    <col min="25" max="25" width="15.5703125" style="84" customWidth="1"/>
    <col min="26" max="26" width="15.28515625" style="84" customWidth="1"/>
    <col min="27" max="27" width="15.5703125" style="84" customWidth="1"/>
    <col min="28" max="28" width="15.28515625" style="84" customWidth="1"/>
    <col min="29" max="16384" width="9.140625" style="84"/>
  </cols>
  <sheetData>
    <row r="1" spans="2:20" x14ac:dyDescent="0.25">
      <c r="B1" s="11" t="s">
        <v>429</v>
      </c>
      <c r="C1" s="11"/>
      <c r="D1" s="11"/>
      <c r="E1" s="11"/>
      <c r="F1" s="11"/>
      <c r="G1" s="11"/>
      <c r="H1" s="11"/>
    </row>
    <row r="2" spans="2:20" ht="15.75" thickBot="1" x14ac:dyDescent="0.3">
      <c r="B2" s="11" t="s">
        <v>374</v>
      </c>
      <c r="C2" s="11"/>
      <c r="D2" s="11"/>
      <c r="E2" s="11"/>
      <c r="F2" s="11"/>
      <c r="G2" s="11"/>
      <c r="H2" s="11"/>
    </row>
    <row r="3" spans="2:20" ht="17.25" customHeight="1" x14ac:dyDescent="0.25">
      <c r="B3" s="927" t="s">
        <v>117</v>
      </c>
      <c r="C3" s="517"/>
      <c r="D3" s="518"/>
      <c r="E3" s="518" t="s">
        <v>411</v>
      </c>
      <c r="F3" s="518"/>
      <c r="G3" s="518"/>
      <c r="H3" s="519"/>
      <c r="I3" s="517"/>
      <c r="J3" s="518"/>
      <c r="K3" s="518" t="s">
        <v>471</v>
      </c>
      <c r="L3" s="518"/>
      <c r="M3" s="518"/>
      <c r="N3" s="519"/>
      <c r="O3" s="518"/>
      <c r="P3" s="518"/>
      <c r="Q3" s="518" t="s">
        <v>472</v>
      </c>
      <c r="R3" s="518"/>
      <c r="S3" s="518"/>
      <c r="T3" s="519"/>
    </row>
    <row r="4" spans="2:20" ht="21" customHeight="1" thickBot="1" x14ac:dyDescent="0.3">
      <c r="B4" s="984"/>
      <c r="C4" s="988" t="s">
        <v>251</v>
      </c>
      <c r="D4" s="989"/>
      <c r="E4" s="989"/>
      <c r="F4" s="989"/>
      <c r="G4" s="989"/>
      <c r="H4" s="990"/>
      <c r="I4" s="988" t="s">
        <v>251</v>
      </c>
      <c r="J4" s="989"/>
      <c r="K4" s="989"/>
      <c r="L4" s="989"/>
      <c r="M4" s="989"/>
      <c r="N4" s="990"/>
      <c r="O4" s="988" t="s">
        <v>251</v>
      </c>
      <c r="P4" s="989"/>
      <c r="Q4" s="989"/>
      <c r="R4" s="989"/>
      <c r="S4" s="989"/>
      <c r="T4" s="990"/>
    </row>
    <row r="5" spans="2:20" ht="17.25" customHeight="1" x14ac:dyDescent="0.25">
      <c r="B5" s="984"/>
      <c r="C5" s="906" t="s">
        <v>170</v>
      </c>
      <c r="D5" s="904"/>
      <c r="E5" s="914"/>
      <c r="F5" s="906" t="s">
        <v>171</v>
      </c>
      <c r="G5" s="904"/>
      <c r="H5" s="914"/>
      <c r="I5" s="906" t="s">
        <v>170</v>
      </c>
      <c r="J5" s="904"/>
      <c r="K5" s="914"/>
      <c r="L5" s="906" t="s">
        <v>171</v>
      </c>
      <c r="M5" s="904"/>
      <c r="N5" s="914"/>
      <c r="O5" s="906" t="s">
        <v>170</v>
      </c>
      <c r="P5" s="904"/>
      <c r="Q5" s="914"/>
      <c r="R5" s="906" t="s">
        <v>171</v>
      </c>
      <c r="S5" s="904"/>
      <c r="T5" s="914"/>
    </row>
    <row r="6" spans="2:20" ht="18" customHeight="1" x14ac:dyDescent="0.25">
      <c r="B6" s="984"/>
      <c r="C6" s="925" t="s">
        <v>4</v>
      </c>
      <c r="D6" s="991" t="s">
        <v>103</v>
      </c>
      <c r="E6" s="992"/>
      <c r="F6" s="993" t="s">
        <v>4</v>
      </c>
      <c r="G6" s="991" t="s">
        <v>103</v>
      </c>
      <c r="H6" s="992"/>
      <c r="I6" s="925" t="s">
        <v>4</v>
      </c>
      <c r="J6" s="991" t="s">
        <v>103</v>
      </c>
      <c r="K6" s="992"/>
      <c r="L6" s="993" t="s">
        <v>4</v>
      </c>
      <c r="M6" s="991" t="s">
        <v>103</v>
      </c>
      <c r="N6" s="992"/>
      <c r="O6" s="925" t="s">
        <v>4</v>
      </c>
      <c r="P6" s="991" t="s">
        <v>103</v>
      </c>
      <c r="Q6" s="992"/>
      <c r="R6" s="993" t="s">
        <v>4</v>
      </c>
      <c r="S6" s="991" t="s">
        <v>103</v>
      </c>
      <c r="T6" s="992"/>
    </row>
    <row r="7" spans="2:20" ht="15.75" thickBot="1" x14ac:dyDescent="0.3">
      <c r="B7" s="940"/>
      <c r="C7" s="926"/>
      <c r="D7" s="521" t="s">
        <v>121</v>
      </c>
      <c r="E7" s="522" t="s">
        <v>484</v>
      </c>
      <c r="F7" s="975"/>
      <c r="G7" s="521" t="s">
        <v>121</v>
      </c>
      <c r="H7" s="685" t="s">
        <v>484</v>
      </c>
      <c r="I7" s="926"/>
      <c r="J7" s="521" t="s">
        <v>121</v>
      </c>
      <c r="K7" s="685" t="s">
        <v>484</v>
      </c>
      <c r="L7" s="975"/>
      <c r="M7" s="521" t="s">
        <v>121</v>
      </c>
      <c r="N7" s="685" t="s">
        <v>484</v>
      </c>
      <c r="O7" s="926"/>
      <c r="P7" s="521" t="s">
        <v>121</v>
      </c>
      <c r="Q7" s="685" t="s">
        <v>484</v>
      </c>
      <c r="R7" s="975"/>
      <c r="S7" s="521" t="s">
        <v>121</v>
      </c>
      <c r="T7" s="685" t="s">
        <v>484</v>
      </c>
    </row>
    <row r="8" spans="2:20" ht="26.25" customHeight="1" thickBot="1" x14ac:dyDescent="0.3">
      <c r="B8" s="307" t="s">
        <v>22</v>
      </c>
      <c r="C8" s="308">
        <f>SUM(C9:C33)</f>
        <v>21280</v>
      </c>
      <c r="D8" s="309">
        <f>SUM(D9:D33)</f>
        <v>12108</v>
      </c>
      <c r="E8" s="310">
        <f>D8/C8*100</f>
        <v>56.898496240601503</v>
      </c>
      <c r="F8" s="308">
        <f>SUM(F9:F33)</f>
        <v>19172</v>
      </c>
      <c r="G8" s="309">
        <f>SUM(G9:G33)</f>
        <v>7304</v>
      </c>
      <c r="H8" s="310">
        <f>G8/F8*100</f>
        <v>38.097225119966616</v>
      </c>
      <c r="I8" s="308">
        <f>SUM(I9:I33)</f>
        <v>20335</v>
      </c>
      <c r="J8" s="309">
        <f>SUM(J9:J33)</f>
        <v>11474</v>
      </c>
      <c r="K8" s="310">
        <f>J8/I8*100</f>
        <v>56.42488320629456</v>
      </c>
      <c r="L8" s="308">
        <f>SUM(L9:L33)</f>
        <v>18646</v>
      </c>
      <c r="M8" s="309">
        <f>SUM(M9:M33)</f>
        <v>7047</v>
      </c>
      <c r="N8" s="310">
        <f>M8/L8*100</f>
        <v>37.793628660302474</v>
      </c>
      <c r="O8" s="308">
        <f>SUM(O9:O33)</f>
        <v>16579</v>
      </c>
      <c r="P8" s="309">
        <f>SUM(P9:P33)</f>
        <v>9496</v>
      </c>
      <c r="Q8" s="310">
        <f>P8/O8*100</f>
        <v>57.277278484830205</v>
      </c>
      <c r="R8" s="308">
        <f>SUM(R9:R33)</f>
        <v>17368</v>
      </c>
      <c r="S8" s="309">
        <f>SUM(S9:S33)</f>
        <v>6597</v>
      </c>
      <c r="T8" s="310">
        <f>S8/R8*100</f>
        <v>37.983648088438507</v>
      </c>
    </row>
    <row r="9" spans="2:20" ht="15.75" thickTop="1" x14ac:dyDescent="0.25">
      <c r="B9" s="201" t="s">
        <v>23</v>
      </c>
      <c r="C9" s="205">
        <v>323</v>
      </c>
      <c r="D9" s="206">
        <v>197</v>
      </c>
      <c r="E9" s="60">
        <f>D9/C9*100</f>
        <v>60.99071207430341</v>
      </c>
      <c r="F9" s="205">
        <v>266</v>
      </c>
      <c r="G9" s="206">
        <v>100</v>
      </c>
      <c r="H9" s="60">
        <f t="shared" ref="H9:H33" si="0">G9/F9*100</f>
        <v>37.593984962406012</v>
      </c>
      <c r="I9" s="205">
        <v>333</v>
      </c>
      <c r="J9" s="206">
        <v>196</v>
      </c>
      <c r="K9" s="60">
        <f>J9/I9*100</f>
        <v>58.858858858858852</v>
      </c>
      <c r="L9" s="205">
        <v>273</v>
      </c>
      <c r="M9" s="206">
        <v>105</v>
      </c>
      <c r="N9" s="60">
        <f t="shared" ref="N9:N12" si="1">M9/L9*100</f>
        <v>38.461538461538467</v>
      </c>
      <c r="O9" s="205">
        <f>SUM(T.XIV!F11)</f>
        <v>277</v>
      </c>
      <c r="P9" s="206">
        <f>SUM(T.XIV!G11)</f>
        <v>161</v>
      </c>
      <c r="Q9" s="60">
        <f>P9/O9*100</f>
        <v>58.122743682310471</v>
      </c>
      <c r="R9" s="205">
        <f>SUM(T.XIV!L11)</f>
        <v>239</v>
      </c>
      <c r="S9" s="206">
        <f>SUM(T.XIV!M11)</f>
        <v>99</v>
      </c>
      <c r="T9" s="60">
        <f t="shared" ref="T9:T12" si="2">S9/R9*100</f>
        <v>41.422594142259413</v>
      </c>
    </row>
    <row r="10" spans="2:20" x14ac:dyDescent="0.25">
      <c r="B10" s="202" t="s">
        <v>24</v>
      </c>
      <c r="C10" s="56">
        <v>1053</v>
      </c>
      <c r="D10" s="9">
        <v>562</v>
      </c>
      <c r="E10" s="7">
        <f>D10/C10*100</f>
        <v>53.371320037986706</v>
      </c>
      <c r="F10" s="56">
        <v>1011</v>
      </c>
      <c r="G10" s="9">
        <v>443</v>
      </c>
      <c r="H10" s="7">
        <f t="shared" si="0"/>
        <v>43.818001978239366</v>
      </c>
      <c r="I10" s="56">
        <v>1106</v>
      </c>
      <c r="J10" s="9">
        <v>543</v>
      </c>
      <c r="K10" s="7">
        <f>J10/I10*100</f>
        <v>49.09584086799277</v>
      </c>
      <c r="L10" s="56">
        <v>1069</v>
      </c>
      <c r="M10" s="9">
        <v>448</v>
      </c>
      <c r="N10" s="7">
        <f t="shared" si="1"/>
        <v>41.908325537885879</v>
      </c>
      <c r="O10" s="56">
        <f>SUM(T.XIV!F12)</f>
        <v>925</v>
      </c>
      <c r="P10" s="9">
        <f>SUM(T.XIV!G12)</f>
        <v>463</v>
      </c>
      <c r="Q10" s="7">
        <f>P10/O10*100</f>
        <v>50.054054054054056</v>
      </c>
      <c r="R10" s="56">
        <f>SUM(T.XIV!L12)</f>
        <v>994</v>
      </c>
      <c r="S10" s="9">
        <f>SUM(T.XIV!M12)</f>
        <v>422</v>
      </c>
      <c r="T10" s="7">
        <f t="shared" si="2"/>
        <v>42.454728370221332</v>
      </c>
    </row>
    <row r="11" spans="2:20" x14ac:dyDescent="0.25">
      <c r="B11" s="202" t="s">
        <v>25</v>
      </c>
      <c r="C11" s="56">
        <v>905</v>
      </c>
      <c r="D11" s="9">
        <v>597</v>
      </c>
      <c r="E11" s="7">
        <f>D11/C11*100</f>
        <v>65.966850828729278</v>
      </c>
      <c r="F11" s="56">
        <v>707</v>
      </c>
      <c r="G11" s="9">
        <v>301</v>
      </c>
      <c r="H11" s="7">
        <f t="shared" si="0"/>
        <v>42.574257425742573</v>
      </c>
      <c r="I11" s="56">
        <v>757</v>
      </c>
      <c r="J11" s="9">
        <v>516</v>
      </c>
      <c r="K11" s="7">
        <f>J11/I11*100</f>
        <v>68.163804491413472</v>
      </c>
      <c r="L11" s="56">
        <v>645</v>
      </c>
      <c r="M11" s="9">
        <v>299</v>
      </c>
      <c r="N11" s="7">
        <f t="shared" si="1"/>
        <v>46.356589147286819</v>
      </c>
      <c r="O11" s="56">
        <f>SUM(T.XIV!F13)</f>
        <v>621</v>
      </c>
      <c r="P11" s="9">
        <f>SUM(T.XIV!G13)</f>
        <v>418</v>
      </c>
      <c r="Q11" s="7">
        <f>P11/O11*100</f>
        <v>67.310789049919478</v>
      </c>
      <c r="R11" s="56">
        <f>SUM(T.XIV!L13)</f>
        <v>597</v>
      </c>
      <c r="S11" s="9">
        <f>SUM(T.XIV!M13)</f>
        <v>269</v>
      </c>
      <c r="T11" s="7">
        <f t="shared" si="2"/>
        <v>45.058626465661646</v>
      </c>
    </row>
    <row r="12" spans="2:20" x14ac:dyDescent="0.25">
      <c r="B12" s="202" t="s">
        <v>26</v>
      </c>
      <c r="C12" s="56">
        <v>1618</v>
      </c>
      <c r="D12" s="9">
        <v>921</v>
      </c>
      <c r="E12" s="7">
        <f>D12/C12*100</f>
        <v>56.922126081582206</v>
      </c>
      <c r="F12" s="56">
        <v>1316</v>
      </c>
      <c r="G12" s="9">
        <v>475</v>
      </c>
      <c r="H12" s="7">
        <f t="shared" si="0"/>
        <v>36.09422492401216</v>
      </c>
      <c r="I12" s="56">
        <v>1501</v>
      </c>
      <c r="J12" s="9">
        <v>878</v>
      </c>
      <c r="K12" s="7">
        <f>J12/I12*100</f>
        <v>58.494337108594273</v>
      </c>
      <c r="L12" s="56">
        <v>1247</v>
      </c>
      <c r="M12" s="9">
        <v>469</v>
      </c>
      <c r="N12" s="7">
        <f t="shared" si="1"/>
        <v>37.610264635124295</v>
      </c>
      <c r="O12" s="56">
        <f>SUM(T.XIV!F14)</f>
        <v>1144</v>
      </c>
      <c r="P12" s="9">
        <f>SUM(T.XIV!G14)</f>
        <v>689</v>
      </c>
      <c r="Q12" s="7">
        <f>P12/O12*100</f>
        <v>60.227272727272727</v>
      </c>
      <c r="R12" s="56">
        <f>SUM(T.XIV!L14)</f>
        <v>1143</v>
      </c>
      <c r="S12" s="9">
        <f>SUM(T.XIV!M14)</f>
        <v>419</v>
      </c>
      <c r="T12" s="7">
        <f t="shared" si="2"/>
        <v>36.657917760279965</v>
      </c>
    </row>
    <row r="13" spans="2:20" x14ac:dyDescent="0.25">
      <c r="B13" s="202" t="s">
        <v>27</v>
      </c>
      <c r="C13" s="56">
        <v>1402</v>
      </c>
      <c r="D13" s="9">
        <v>804</v>
      </c>
      <c r="E13" s="7">
        <f t="shared" ref="E13:E31" si="3">D13/C13*100</f>
        <v>57.346647646219687</v>
      </c>
      <c r="F13" s="56">
        <v>1206</v>
      </c>
      <c r="G13" s="9">
        <v>543</v>
      </c>
      <c r="H13" s="7">
        <f>G13/F13*100</f>
        <v>45.024875621890544</v>
      </c>
      <c r="I13" s="56">
        <v>1346</v>
      </c>
      <c r="J13" s="9">
        <v>821</v>
      </c>
      <c r="K13" s="7">
        <f t="shared" ref="K13:K15" si="4">J13/I13*100</f>
        <v>60.995542347696883</v>
      </c>
      <c r="L13" s="56">
        <v>1197</v>
      </c>
      <c r="M13" s="9">
        <v>521</v>
      </c>
      <c r="N13" s="7">
        <f>M13/L13*100</f>
        <v>43.525480367585629</v>
      </c>
      <c r="O13" s="56">
        <f>SUM(T.XIV!F15)</f>
        <v>1067</v>
      </c>
      <c r="P13" s="9">
        <f>SUM(T.XIV!G15)</f>
        <v>636</v>
      </c>
      <c r="Q13" s="7">
        <f t="shared" ref="Q13:Q15" si="5">P13/O13*100</f>
        <v>59.606373008434865</v>
      </c>
      <c r="R13" s="56">
        <f>SUM(T.XIV!L15)</f>
        <v>1122</v>
      </c>
      <c r="S13" s="9">
        <f>SUM(T.XIV!M15)</f>
        <v>498</v>
      </c>
      <c r="T13" s="7">
        <f>S13/R13*100</f>
        <v>44.385026737967912</v>
      </c>
    </row>
    <row r="14" spans="2:20" x14ac:dyDescent="0.25">
      <c r="B14" s="202" t="s">
        <v>28</v>
      </c>
      <c r="C14" s="56">
        <v>503</v>
      </c>
      <c r="D14" s="9">
        <v>312</v>
      </c>
      <c r="E14" s="7">
        <f t="shared" si="3"/>
        <v>62.027833001988078</v>
      </c>
      <c r="F14" s="56">
        <v>492</v>
      </c>
      <c r="G14" s="9">
        <v>181</v>
      </c>
      <c r="H14" s="7">
        <f t="shared" si="0"/>
        <v>36.788617886178862</v>
      </c>
      <c r="I14" s="56">
        <v>496</v>
      </c>
      <c r="J14" s="9">
        <v>288</v>
      </c>
      <c r="K14" s="7">
        <f t="shared" si="4"/>
        <v>58.064516129032263</v>
      </c>
      <c r="L14" s="56">
        <v>472</v>
      </c>
      <c r="M14" s="9">
        <v>169</v>
      </c>
      <c r="N14" s="7">
        <f t="shared" ref="N14" si="6">M14/L14*100</f>
        <v>35.805084745762713</v>
      </c>
      <c r="O14" s="56">
        <f>SUM(T.XIV!F16)</f>
        <v>411</v>
      </c>
      <c r="P14" s="9">
        <f>SUM(T.XIV!G16)</f>
        <v>236</v>
      </c>
      <c r="Q14" s="7">
        <f t="shared" si="5"/>
        <v>57.420924574209245</v>
      </c>
      <c r="R14" s="56">
        <f>SUM(T.XIV!L16)</f>
        <v>465</v>
      </c>
      <c r="S14" s="9">
        <f>SUM(T.XIV!M16)</f>
        <v>167</v>
      </c>
      <c r="T14" s="7">
        <f t="shared" ref="T14" si="7">S14/R14*100</f>
        <v>35.913978494623656</v>
      </c>
    </row>
    <row r="15" spans="2:20" x14ac:dyDescent="0.25">
      <c r="B15" s="202" t="s">
        <v>29</v>
      </c>
      <c r="C15" s="56">
        <v>592</v>
      </c>
      <c r="D15" s="9">
        <v>379</v>
      </c>
      <c r="E15" s="7">
        <f t="shared" si="3"/>
        <v>64.020270270270274</v>
      </c>
      <c r="F15" s="56">
        <v>588</v>
      </c>
      <c r="G15" s="9">
        <v>241</v>
      </c>
      <c r="H15" s="7">
        <f>G15/F15*100</f>
        <v>40.986394557823132</v>
      </c>
      <c r="I15" s="56">
        <v>462</v>
      </c>
      <c r="J15" s="9">
        <v>293</v>
      </c>
      <c r="K15" s="7">
        <f t="shared" si="4"/>
        <v>63.419913419913421</v>
      </c>
      <c r="L15" s="56">
        <v>557</v>
      </c>
      <c r="M15" s="9">
        <v>221</v>
      </c>
      <c r="N15" s="7">
        <f>M15/L15*100</f>
        <v>39.67684021543986</v>
      </c>
      <c r="O15" s="56">
        <f>SUM(T.XIV!F17)</f>
        <v>381</v>
      </c>
      <c r="P15" s="9">
        <f>SUM(T.XIV!G17)</f>
        <v>255</v>
      </c>
      <c r="Q15" s="7">
        <f t="shared" si="5"/>
        <v>66.929133858267718</v>
      </c>
      <c r="R15" s="56">
        <f>SUM(T.XIV!L17)</f>
        <v>539</v>
      </c>
      <c r="S15" s="9">
        <f>SUM(T.XIV!M17)</f>
        <v>211</v>
      </c>
      <c r="T15" s="7">
        <f>S15/R15*100</f>
        <v>39.146567717996291</v>
      </c>
    </row>
    <row r="16" spans="2:20" x14ac:dyDescent="0.25">
      <c r="B16" s="202" t="s">
        <v>30</v>
      </c>
      <c r="C16" s="56">
        <v>429</v>
      </c>
      <c r="D16" s="9">
        <v>205</v>
      </c>
      <c r="E16" s="7">
        <f>D16/C16*100</f>
        <v>47.785547785547784</v>
      </c>
      <c r="F16" s="56">
        <v>380</v>
      </c>
      <c r="G16" s="9">
        <v>136</v>
      </c>
      <c r="H16" s="7">
        <f>G16/F16*100</f>
        <v>35.789473684210527</v>
      </c>
      <c r="I16" s="56">
        <v>489</v>
      </c>
      <c r="J16" s="9">
        <v>223</v>
      </c>
      <c r="K16" s="7">
        <f>J16/I16*100</f>
        <v>45.603271983640084</v>
      </c>
      <c r="L16" s="56">
        <v>417</v>
      </c>
      <c r="M16" s="9">
        <v>151</v>
      </c>
      <c r="N16" s="7">
        <f>M16/L16*100</f>
        <v>36.211031175059958</v>
      </c>
      <c r="O16" s="56">
        <f>SUM(T.XIV!F18)</f>
        <v>412</v>
      </c>
      <c r="P16" s="9">
        <f>SUM(T.XIV!G18)</f>
        <v>202</v>
      </c>
      <c r="Q16" s="7">
        <f>P16/O16*100</f>
        <v>49.029126213592235</v>
      </c>
      <c r="R16" s="56">
        <f>SUM(T.XIV!L18)</f>
        <v>380</v>
      </c>
      <c r="S16" s="9">
        <f>SUM(T.XIV!M18)</f>
        <v>132</v>
      </c>
      <c r="T16" s="7">
        <f>S16/R16*100</f>
        <v>34.736842105263158</v>
      </c>
    </row>
    <row r="17" spans="2:20" x14ac:dyDescent="0.25">
      <c r="B17" s="202" t="s">
        <v>31</v>
      </c>
      <c r="C17" s="56">
        <v>1087</v>
      </c>
      <c r="D17" s="9">
        <v>549</v>
      </c>
      <c r="E17" s="7">
        <f t="shared" si="3"/>
        <v>50.505979760809574</v>
      </c>
      <c r="F17" s="56">
        <v>800</v>
      </c>
      <c r="G17" s="9">
        <v>313</v>
      </c>
      <c r="H17" s="7">
        <f>G17/F17*100</f>
        <v>39.125</v>
      </c>
      <c r="I17" s="56">
        <v>1091</v>
      </c>
      <c r="J17" s="9">
        <v>568</v>
      </c>
      <c r="K17" s="7">
        <f t="shared" ref="K17:K18" si="8">J17/I17*100</f>
        <v>52.062328139321721</v>
      </c>
      <c r="L17" s="56">
        <v>805</v>
      </c>
      <c r="M17" s="9">
        <v>322</v>
      </c>
      <c r="N17" s="7">
        <f>M17/L17*100</f>
        <v>40</v>
      </c>
      <c r="O17" s="56">
        <f>SUM(T.XIV!F19)</f>
        <v>898</v>
      </c>
      <c r="P17" s="9">
        <f>SUM(T.XIV!G19)</f>
        <v>457</v>
      </c>
      <c r="Q17" s="7">
        <f t="shared" ref="Q17:Q18" si="9">P17/O17*100</f>
        <v>50.890868596881958</v>
      </c>
      <c r="R17" s="56">
        <f>SUM(T.XIV!L19)</f>
        <v>730</v>
      </c>
      <c r="S17" s="9">
        <f>SUM(T.XIV!M19)</f>
        <v>290</v>
      </c>
      <c r="T17" s="7">
        <f>S17/R17*100</f>
        <v>39.726027397260275</v>
      </c>
    </row>
    <row r="18" spans="2:20" x14ac:dyDescent="0.25">
      <c r="B18" s="202" t="s">
        <v>32</v>
      </c>
      <c r="C18" s="56">
        <v>502</v>
      </c>
      <c r="D18" s="9">
        <v>269</v>
      </c>
      <c r="E18" s="7">
        <f t="shared" si="3"/>
        <v>53.585657370517922</v>
      </c>
      <c r="F18" s="56">
        <v>514</v>
      </c>
      <c r="G18" s="9">
        <v>175</v>
      </c>
      <c r="H18" s="7">
        <f>G18/F18*100</f>
        <v>34.046692607003891</v>
      </c>
      <c r="I18" s="56">
        <v>583</v>
      </c>
      <c r="J18" s="9">
        <v>314</v>
      </c>
      <c r="K18" s="7">
        <f t="shared" si="8"/>
        <v>53.859348198970835</v>
      </c>
      <c r="L18" s="56">
        <v>513</v>
      </c>
      <c r="M18" s="9">
        <v>156</v>
      </c>
      <c r="N18" s="7">
        <f>M18/L18*100</f>
        <v>30.409356725146196</v>
      </c>
      <c r="O18" s="56">
        <f>SUM(T.XIV!F20)</f>
        <v>423</v>
      </c>
      <c r="P18" s="9">
        <f>SUM(T.XIV!G20)</f>
        <v>229</v>
      </c>
      <c r="Q18" s="7">
        <f t="shared" si="9"/>
        <v>54.137115839243499</v>
      </c>
      <c r="R18" s="56">
        <f>SUM(T.XIV!L20)</f>
        <v>459</v>
      </c>
      <c r="S18" s="9">
        <f>SUM(T.XIV!M20)</f>
        <v>129</v>
      </c>
      <c r="T18" s="7">
        <f>S18/R18*100</f>
        <v>28.104575163398692</v>
      </c>
    </row>
    <row r="19" spans="2:20" x14ac:dyDescent="0.25">
      <c r="B19" s="202" t="s">
        <v>33</v>
      </c>
      <c r="C19" s="56">
        <v>959</v>
      </c>
      <c r="D19" s="9">
        <v>504</v>
      </c>
      <c r="E19" s="7">
        <f>D19/C19*100</f>
        <v>52.554744525547449</v>
      </c>
      <c r="F19" s="56">
        <v>766</v>
      </c>
      <c r="G19" s="9">
        <v>276</v>
      </c>
      <c r="H19" s="7">
        <f t="shared" si="0"/>
        <v>36.031331592689298</v>
      </c>
      <c r="I19" s="56">
        <v>953</v>
      </c>
      <c r="J19" s="9">
        <v>496</v>
      </c>
      <c r="K19" s="7">
        <f>J19/I19*100</f>
        <v>52.046169989506822</v>
      </c>
      <c r="L19" s="56">
        <v>736</v>
      </c>
      <c r="M19" s="9">
        <v>255</v>
      </c>
      <c r="N19" s="7">
        <f t="shared" ref="N19:N33" si="10">M19/L19*100</f>
        <v>34.646739130434781</v>
      </c>
      <c r="O19" s="56">
        <f>SUM(T.XIV!F21)</f>
        <v>795</v>
      </c>
      <c r="P19" s="9">
        <f>SUM(T.XIV!G21)</f>
        <v>429</v>
      </c>
      <c r="Q19" s="7">
        <f>P19/O19*100</f>
        <v>53.962264150943398</v>
      </c>
      <c r="R19" s="56">
        <f>SUM(T.XIV!L21)</f>
        <v>691</v>
      </c>
      <c r="S19" s="9">
        <f>SUM(T.XIV!M21)</f>
        <v>257</v>
      </c>
      <c r="T19" s="7">
        <f t="shared" ref="T19:T33" si="11">S19/R19*100</f>
        <v>37.192474674384954</v>
      </c>
    </row>
    <row r="20" spans="2:20" x14ac:dyDescent="0.25">
      <c r="B20" s="202" t="s">
        <v>34</v>
      </c>
      <c r="C20" s="56">
        <v>795</v>
      </c>
      <c r="D20" s="9">
        <v>477</v>
      </c>
      <c r="E20" s="7">
        <f t="shared" si="3"/>
        <v>60</v>
      </c>
      <c r="F20" s="56">
        <v>798</v>
      </c>
      <c r="G20" s="9">
        <v>314</v>
      </c>
      <c r="H20" s="7">
        <f t="shared" si="0"/>
        <v>39.348370927318292</v>
      </c>
      <c r="I20" s="56">
        <v>757</v>
      </c>
      <c r="J20" s="9">
        <v>426</v>
      </c>
      <c r="K20" s="7">
        <f t="shared" ref="K20:K22" si="12">J20/I20*100</f>
        <v>56.274768824306477</v>
      </c>
      <c r="L20" s="56">
        <v>698</v>
      </c>
      <c r="M20" s="9">
        <v>244</v>
      </c>
      <c r="N20" s="7">
        <f t="shared" si="10"/>
        <v>34.957020057306593</v>
      </c>
      <c r="O20" s="56">
        <f>SUM(T.XIV!F22)</f>
        <v>576</v>
      </c>
      <c r="P20" s="9">
        <f>SUM(T.XIV!G22)</f>
        <v>334</v>
      </c>
      <c r="Q20" s="7">
        <f t="shared" ref="Q20:Q22" si="13">P20/O20*100</f>
        <v>57.986111111111114</v>
      </c>
      <c r="R20" s="56">
        <f>SUM(T.XIV!L22)</f>
        <v>681</v>
      </c>
      <c r="S20" s="9">
        <f>SUM(T.XIV!M22)</f>
        <v>245</v>
      </c>
      <c r="T20" s="7">
        <f t="shared" si="11"/>
        <v>35.976505139500738</v>
      </c>
    </row>
    <row r="21" spans="2:20" x14ac:dyDescent="0.25">
      <c r="B21" s="202" t="s">
        <v>35</v>
      </c>
      <c r="C21" s="56">
        <v>1024</v>
      </c>
      <c r="D21" s="9">
        <v>577</v>
      </c>
      <c r="E21" s="7">
        <f t="shared" si="3"/>
        <v>56.34765625</v>
      </c>
      <c r="F21" s="56">
        <v>813</v>
      </c>
      <c r="G21" s="9">
        <v>297</v>
      </c>
      <c r="H21" s="7">
        <f t="shared" si="0"/>
        <v>36.531365313653133</v>
      </c>
      <c r="I21" s="56">
        <v>960</v>
      </c>
      <c r="J21" s="9">
        <v>520</v>
      </c>
      <c r="K21" s="7">
        <f t="shared" si="12"/>
        <v>54.166666666666664</v>
      </c>
      <c r="L21" s="56">
        <v>810</v>
      </c>
      <c r="M21" s="9">
        <v>310</v>
      </c>
      <c r="N21" s="7">
        <f t="shared" si="10"/>
        <v>38.271604938271601</v>
      </c>
      <c r="O21" s="56">
        <f>SUM(T.XIV!F23)</f>
        <v>791</v>
      </c>
      <c r="P21" s="9">
        <f>SUM(T.XIV!G23)</f>
        <v>440</v>
      </c>
      <c r="Q21" s="7">
        <f t="shared" si="13"/>
        <v>55.625790139064478</v>
      </c>
      <c r="R21" s="56">
        <f>SUM(T.XIV!L23)</f>
        <v>787</v>
      </c>
      <c r="S21" s="9">
        <f>SUM(T.XIV!M23)</f>
        <v>296</v>
      </c>
      <c r="T21" s="7">
        <f t="shared" si="11"/>
        <v>37.611181702668361</v>
      </c>
    </row>
    <row r="22" spans="2:20" x14ac:dyDescent="0.25">
      <c r="B22" s="203" t="s">
        <v>36</v>
      </c>
      <c r="C22" s="117">
        <v>1032</v>
      </c>
      <c r="D22" s="118">
        <v>590</v>
      </c>
      <c r="E22" s="7">
        <f t="shared" si="3"/>
        <v>57.170542635658919</v>
      </c>
      <c r="F22" s="117">
        <v>812</v>
      </c>
      <c r="G22" s="118">
        <v>302</v>
      </c>
      <c r="H22" s="7">
        <f t="shared" si="0"/>
        <v>37.192118226600982</v>
      </c>
      <c r="I22" s="117">
        <v>1101</v>
      </c>
      <c r="J22" s="118">
        <v>607</v>
      </c>
      <c r="K22" s="7">
        <f t="shared" si="12"/>
        <v>55.131698455949142</v>
      </c>
      <c r="L22" s="117">
        <v>838</v>
      </c>
      <c r="M22" s="118">
        <v>304</v>
      </c>
      <c r="N22" s="7">
        <f t="shared" si="10"/>
        <v>36.27684964200477</v>
      </c>
      <c r="O22" s="117">
        <f>SUM(T.XIV!F24)</f>
        <v>787</v>
      </c>
      <c r="P22" s="118">
        <f>SUM(T.XIV!G24)</f>
        <v>441</v>
      </c>
      <c r="Q22" s="7">
        <f t="shared" si="13"/>
        <v>56.035578144853872</v>
      </c>
      <c r="R22" s="117">
        <f>SUM(T.XIV!L24)</f>
        <v>734</v>
      </c>
      <c r="S22" s="118">
        <f>SUM(T.XIV!M24)</f>
        <v>276</v>
      </c>
      <c r="T22" s="7">
        <f t="shared" si="11"/>
        <v>37.602179836512263</v>
      </c>
    </row>
    <row r="23" spans="2:20" x14ac:dyDescent="0.25">
      <c r="B23" s="203" t="s">
        <v>37</v>
      </c>
      <c r="C23" s="117">
        <v>1068</v>
      </c>
      <c r="D23" s="118">
        <v>650</v>
      </c>
      <c r="E23" s="7">
        <f>D23/C23*100</f>
        <v>60.861423220973791</v>
      </c>
      <c r="F23" s="117">
        <v>771</v>
      </c>
      <c r="G23" s="118">
        <v>301</v>
      </c>
      <c r="H23" s="7">
        <f t="shared" si="0"/>
        <v>39.040207522697798</v>
      </c>
      <c r="I23" s="117">
        <v>1091</v>
      </c>
      <c r="J23" s="118">
        <v>655</v>
      </c>
      <c r="K23" s="7">
        <f>J23/I23*100</f>
        <v>60.036663611365718</v>
      </c>
      <c r="L23" s="117">
        <v>814</v>
      </c>
      <c r="M23" s="118">
        <v>322</v>
      </c>
      <c r="N23" s="7">
        <f t="shared" si="10"/>
        <v>39.557739557739559</v>
      </c>
      <c r="O23" s="117">
        <f>SUM(T.XIV!F25)</f>
        <v>949</v>
      </c>
      <c r="P23" s="118">
        <f>SUM(T.XIV!G25)</f>
        <v>570</v>
      </c>
      <c r="Q23" s="7">
        <f>P23/O23*100</f>
        <v>60.063224446786087</v>
      </c>
      <c r="R23" s="117">
        <f>SUM(T.XIV!L25)</f>
        <v>721</v>
      </c>
      <c r="S23" s="118">
        <f>SUM(T.XIV!M25)</f>
        <v>292</v>
      </c>
      <c r="T23" s="7">
        <f t="shared" si="11"/>
        <v>40.499306518723991</v>
      </c>
    </row>
    <row r="24" spans="2:20" x14ac:dyDescent="0.25">
      <c r="B24" s="203" t="s">
        <v>38</v>
      </c>
      <c r="C24" s="117">
        <v>1003</v>
      </c>
      <c r="D24" s="118">
        <v>595</v>
      </c>
      <c r="E24" s="7">
        <f t="shared" si="3"/>
        <v>59.322033898305079</v>
      </c>
      <c r="F24" s="117">
        <v>705</v>
      </c>
      <c r="G24" s="118">
        <v>268</v>
      </c>
      <c r="H24" s="7">
        <f t="shared" si="0"/>
        <v>38.01418439716312</v>
      </c>
      <c r="I24" s="117">
        <v>920</v>
      </c>
      <c r="J24" s="118">
        <v>536</v>
      </c>
      <c r="K24" s="7">
        <f t="shared" ref="K24:K25" si="14">J24/I24*100</f>
        <v>58.260869565217391</v>
      </c>
      <c r="L24" s="117">
        <v>697</v>
      </c>
      <c r="M24" s="118">
        <v>271</v>
      </c>
      <c r="N24" s="7">
        <f t="shared" si="10"/>
        <v>38.880918220946917</v>
      </c>
      <c r="O24" s="117">
        <f>SUM(T.XIV!F26)</f>
        <v>826</v>
      </c>
      <c r="P24" s="118">
        <f>SUM(T.XIV!G26)</f>
        <v>480</v>
      </c>
      <c r="Q24" s="7">
        <f t="shared" ref="Q24:Q25" si="15">P24/O24*100</f>
        <v>58.111380145278446</v>
      </c>
      <c r="R24" s="117">
        <f>SUM(T.XIV!L26)</f>
        <v>669</v>
      </c>
      <c r="S24" s="118">
        <f>SUM(T.XIV!M26)</f>
        <v>259</v>
      </c>
      <c r="T24" s="7">
        <f t="shared" si="11"/>
        <v>38.714499252615845</v>
      </c>
    </row>
    <row r="25" spans="2:20" x14ac:dyDescent="0.25">
      <c r="B25" s="203" t="s">
        <v>39</v>
      </c>
      <c r="C25" s="117">
        <v>1830</v>
      </c>
      <c r="D25" s="118">
        <v>980</v>
      </c>
      <c r="E25" s="7">
        <f t="shared" si="3"/>
        <v>53.551912568306015</v>
      </c>
      <c r="F25" s="117">
        <v>1405</v>
      </c>
      <c r="G25" s="118">
        <v>468</v>
      </c>
      <c r="H25" s="7">
        <f t="shared" si="0"/>
        <v>33.309608540925268</v>
      </c>
      <c r="I25" s="117">
        <v>1593</v>
      </c>
      <c r="J25" s="118">
        <v>886</v>
      </c>
      <c r="K25" s="7">
        <f t="shared" si="14"/>
        <v>55.618330194601384</v>
      </c>
      <c r="L25" s="117">
        <v>1329</v>
      </c>
      <c r="M25" s="118">
        <v>439</v>
      </c>
      <c r="N25" s="7">
        <f t="shared" si="10"/>
        <v>33.03235515425132</v>
      </c>
      <c r="O25" s="117">
        <f>SUM(T.XIV!F27)</f>
        <v>1310</v>
      </c>
      <c r="P25" s="118">
        <f>SUM(T.XIV!G27)</f>
        <v>723</v>
      </c>
      <c r="Q25" s="7">
        <f t="shared" si="15"/>
        <v>55.190839694656489</v>
      </c>
      <c r="R25" s="117">
        <f>SUM(T.XIV!L27)</f>
        <v>1218</v>
      </c>
      <c r="S25" s="118">
        <f>SUM(T.XIV!M27)</f>
        <v>390</v>
      </c>
      <c r="T25" s="7">
        <f t="shared" si="11"/>
        <v>32.019704433497537</v>
      </c>
    </row>
    <row r="26" spans="2:20" x14ac:dyDescent="0.25">
      <c r="B26" s="203" t="s">
        <v>40</v>
      </c>
      <c r="C26" s="117">
        <v>639</v>
      </c>
      <c r="D26" s="118">
        <v>399</v>
      </c>
      <c r="E26" s="7">
        <f>D26/C26*100</f>
        <v>62.441314553990615</v>
      </c>
      <c r="F26" s="117">
        <v>663</v>
      </c>
      <c r="G26" s="118">
        <v>230</v>
      </c>
      <c r="H26" s="7">
        <f t="shared" si="0"/>
        <v>34.690799396681747</v>
      </c>
      <c r="I26" s="117">
        <v>690</v>
      </c>
      <c r="J26" s="118">
        <v>391</v>
      </c>
      <c r="K26" s="7">
        <f>J26/I26*100</f>
        <v>56.666666666666664</v>
      </c>
      <c r="L26" s="117">
        <v>572</v>
      </c>
      <c r="M26" s="118">
        <v>192</v>
      </c>
      <c r="N26" s="7">
        <f t="shared" si="10"/>
        <v>33.566433566433567</v>
      </c>
      <c r="O26" s="117">
        <f>SUM(T.XIV!F28)</f>
        <v>590</v>
      </c>
      <c r="P26" s="118">
        <f>SUM(T.XIV!G28)</f>
        <v>340</v>
      </c>
      <c r="Q26" s="7">
        <f>P26/O26*100</f>
        <v>57.627118644067799</v>
      </c>
      <c r="R26" s="117">
        <f>SUM(T.XIV!L28)</f>
        <v>590</v>
      </c>
      <c r="S26" s="118">
        <f>SUM(T.XIV!M28)</f>
        <v>206</v>
      </c>
      <c r="T26" s="7">
        <f t="shared" si="11"/>
        <v>34.915254237288131</v>
      </c>
    </row>
    <row r="27" spans="2:20" x14ac:dyDescent="0.25">
      <c r="B27" s="203" t="s">
        <v>41</v>
      </c>
      <c r="C27" s="117">
        <v>641</v>
      </c>
      <c r="D27" s="118">
        <v>418</v>
      </c>
      <c r="E27" s="7">
        <f t="shared" si="3"/>
        <v>65.210608424336968</v>
      </c>
      <c r="F27" s="117">
        <v>648</v>
      </c>
      <c r="G27" s="118">
        <v>225</v>
      </c>
      <c r="H27" s="7">
        <f t="shared" si="0"/>
        <v>34.722222222222221</v>
      </c>
      <c r="I27" s="117">
        <v>590</v>
      </c>
      <c r="J27" s="118">
        <v>372</v>
      </c>
      <c r="K27" s="7">
        <f t="shared" ref="K27:K29" si="16">J27/I27*100</f>
        <v>63.050847457627121</v>
      </c>
      <c r="L27" s="117">
        <v>622</v>
      </c>
      <c r="M27" s="118">
        <v>226</v>
      </c>
      <c r="N27" s="7">
        <f t="shared" si="10"/>
        <v>36.334405144694529</v>
      </c>
      <c r="O27" s="117">
        <f>SUM(T.XIV!F29)</f>
        <v>446</v>
      </c>
      <c r="P27" s="118">
        <f>SUM(T.XIV!G29)</f>
        <v>278</v>
      </c>
      <c r="Q27" s="7">
        <f t="shared" ref="Q27:Q29" si="17">P27/O27*100</f>
        <v>62.331838565022423</v>
      </c>
      <c r="R27" s="117">
        <f>SUM(T.XIV!L29)</f>
        <v>570</v>
      </c>
      <c r="S27" s="118">
        <f>SUM(T.XIV!M29)</f>
        <v>215</v>
      </c>
      <c r="T27" s="7">
        <f t="shared" si="11"/>
        <v>37.719298245614034</v>
      </c>
    </row>
    <row r="28" spans="2:20" x14ac:dyDescent="0.25">
      <c r="B28" s="203" t="s">
        <v>42</v>
      </c>
      <c r="C28" s="117">
        <v>1002</v>
      </c>
      <c r="D28" s="118">
        <v>541</v>
      </c>
      <c r="E28" s="7">
        <f t="shared" si="3"/>
        <v>53.992015968063868</v>
      </c>
      <c r="F28" s="117">
        <v>814</v>
      </c>
      <c r="G28" s="118">
        <v>316</v>
      </c>
      <c r="H28" s="7">
        <f t="shared" si="0"/>
        <v>38.82063882063882</v>
      </c>
      <c r="I28" s="117">
        <v>973</v>
      </c>
      <c r="J28" s="118">
        <v>506</v>
      </c>
      <c r="K28" s="7">
        <f t="shared" si="16"/>
        <v>52.004110996916751</v>
      </c>
      <c r="L28" s="117">
        <v>836</v>
      </c>
      <c r="M28" s="118">
        <v>311</v>
      </c>
      <c r="N28" s="7">
        <f t="shared" si="10"/>
        <v>37.200956937799049</v>
      </c>
      <c r="O28" s="117">
        <f>SUM(T.XIV!F30)</f>
        <v>865</v>
      </c>
      <c r="P28" s="118">
        <f>SUM(T.XIV!G30)</f>
        <v>471</v>
      </c>
      <c r="Q28" s="7">
        <f t="shared" si="17"/>
        <v>54.450867052023121</v>
      </c>
      <c r="R28" s="117">
        <f>SUM(T.XIV!L30)</f>
        <v>774</v>
      </c>
      <c r="S28" s="118">
        <f>SUM(T.XIV!M30)</f>
        <v>298</v>
      </c>
      <c r="T28" s="7">
        <f t="shared" si="11"/>
        <v>38.501291989664082</v>
      </c>
    </row>
    <row r="29" spans="2:20" x14ac:dyDescent="0.25">
      <c r="B29" s="203" t="s">
        <v>43</v>
      </c>
      <c r="C29" s="117">
        <v>423</v>
      </c>
      <c r="D29" s="118">
        <v>253</v>
      </c>
      <c r="E29" s="7">
        <f t="shared" si="3"/>
        <v>59.810874704491724</v>
      </c>
      <c r="F29" s="117">
        <v>432</v>
      </c>
      <c r="G29" s="118">
        <v>152</v>
      </c>
      <c r="H29" s="7">
        <f t="shared" si="0"/>
        <v>35.185185185185183</v>
      </c>
      <c r="I29" s="117">
        <v>429</v>
      </c>
      <c r="J29" s="118">
        <v>247</v>
      </c>
      <c r="K29" s="7">
        <f t="shared" si="16"/>
        <v>57.575757575757578</v>
      </c>
      <c r="L29" s="117">
        <v>440</v>
      </c>
      <c r="M29" s="118">
        <v>146</v>
      </c>
      <c r="N29" s="7">
        <f t="shared" si="10"/>
        <v>33.181818181818187</v>
      </c>
      <c r="O29" s="117">
        <f>SUM(T.XIV!F31)</f>
        <v>339</v>
      </c>
      <c r="P29" s="118">
        <f>SUM(T.XIV!G31)</f>
        <v>213</v>
      </c>
      <c r="Q29" s="7">
        <f t="shared" si="17"/>
        <v>62.831858407079643</v>
      </c>
      <c r="R29" s="117">
        <f>SUM(T.XIV!L31)</f>
        <v>379</v>
      </c>
      <c r="S29" s="118">
        <f>SUM(T.XIV!M31)</f>
        <v>124</v>
      </c>
      <c r="T29" s="7">
        <f t="shared" si="11"/>
        <v>32.717678100263853</v>
      </c>
    </row>
    <row r="30" spans="2:20" x14ac:dyDescent="0.25">
      <c r="B30" s="203" t="s">
        <v>44</v>
      </c>
      <c r="C30" s="117">
        <v>141</v>
      </c>
      <c r="D30" s="118">
        <v>71</v>
      </c>
      <c r="E30" s="7">
        <f>D30/C30*100</f>
        <v>50.354609929078009</v>
      </c>
      <c r="F30" s="117">
        <v>237</v>
      </c>
      <c r="G30" s="118">
        <v>88</v>
      </c>
      <c r="H30" s="7">
        <f t="shared" si="0"/>
        <v>37.130801687763714</v>
      </c>
      <c r="I30" s="117">
        <v>134</v>
      </c>
      <c r="J30" s="118">
        <v>75</v>
      </c>
      <c r="K30" s="7">
        <f>J30/I30*100</f>
        <v>55.970149253731336</v>
      </c>
      <c r="L30" s="117">
        <v>190</v>
      </c>
      <c r="M30" s="118">
        <v>71</v>
      </c>
      <c r="N30" s="7">
        <f t="shared" si="10"/>
        <v>37.368421052631575</v>
      </c>
      <c r="O30" s="117">
        <f>SUM(T.XIV!F32)</f>
        <v>113</v>
      </c>
      <c r="P30" s="118">
        <f>SUM(T.XIV!G32)</f>
        <v>73</v>
      </c>
      <c r="Q30" s="7">
        <f>P30/O30*100</f>
        <v>64.601769911504419</v>
      </c>
      <c r="R30" s="117">
        <f>SUM(T.XIV!L32)</f>
        <v>187</v>
      </c>
      <c r="S30" s="118">
        <f>SUM(T.XIV!M32)</f>
        <v>72</v>
      </c>
      <c r="T30" s="7">
        <f t="shared" si="11"/>
        <v>38.502673796791441</v>
      </c>
    </row>
    <row r="31" spans="2:20" x14ac:dyDescent="0.25">
      <c r="B31" s="203" t="s">
        <v>45</v>
      </c>
      <c r="C31" s="117">
        <v>545</v>
      </c>
      <c r="D31" s="118">
        <v>299</v>
      </c>
      <c r="E31" s="7">
        <f t="shared" si="3"/>
        <v>54.862385321100916</v>
      </c>
      <c r="F31" s="117">
        <v>814</v>
      </c>
      <c r="G31" s="118">
        <v>332</v>
      </c>
      <c r="H31" s="7">
        <f t="shared" si="0"/>
        <v>40.786240786240782</v>
      </c>
      <c r="I31" s="117">
        <v>504</v>
      </c>
      <c r="J31" s="118">
        <v>299</v>
      </c>
      <c r="K31" s="7">
        <f t="shared" ref="K31" si="18">J31/I31*100</f>
        <v>59.325396825396822</v>
      </c>
      <c r="L31" s="117">
        <v>831</v>
      </c>
      <c r="M31" s="118">
        <v>339</v>
      </c>
      <c r="N31" s="7">
        <f t="shared" si="10"/>
        <v>40.794223826714806</v>
      </c>
      <c r="O31" s="117">
        <f>SUM(T.XIV!F33)</f>
        <v>407</v>
      </c>
      <c r="P31" s="118">
        <f>SUM(T.XIV!G33)</f>
        <v>236</v>
      </c>
      <c r="Q31" s="7">
        <f t="shared" ref="Q31" si="19">P31/O31*100</f>
        <v>57.985257985257988</v>
      </c>
      <c r="R31" s="117">
        <f>SUM(T.XIV!L33)</f>
        <v>756</v>
      </c>
      <c r="S31" s="118">
        <f>SUM(T.XIV!M33)</f>
        <v>308</v>
      </c>
      <c r="T31" s="7">
        <f t="shared" si="11"/>
        <v>40.74074074074074</v>
      </c>
    </row>
    <row r="32" spans="2:20" x14ac:dyDescent="0.25">
      <c r="B32" s="203" t="s">
        <v>46</v>
      </c>
      <c r="C32" s="117">
        <v>1479</v>
      </c>
      <c r="D32" s="118">
        <v>795</v>
      </c>
      <c r="E32" s="7">
        <f>D32/C32*100</f>
        <v>53.7525354969574</v>
      </c>
      <c r="F32" s="117">
        <v>1794</v>
      </c>
      <c r="G32" s="118">
        <v>661</v>
      </c>
      <c r="H32" s="7">
        <f t="shared" si="0"/>
        <v>36.845039018952065</v>
      </c>
      <c r="I32" s="117">
        <v>1218</v>
      </c>
      <c r="J32" s="118">
        <v>663</v>
      </c>
      <c r="K32" s="7">
        <f>J32/I32*100</f>
        <v>54.433497536945808</v>
      </c>
      <c r="L32" s="117">
        <v>1639</v>
      </c>
      <c r="M32" s="118">
        <v>603</v>
      </c>
      <c r="N32" s="7">
        <f t="shared" si="10"/>
        <v>36.790726052471015</v>
      </c>
      <c r="O32" s="117">
        <f>SUM(T.XIV!F34)</f>
        <v>1008</v>
      </c>
      <c r="P32" s="118">
        <f>SUM(T.XIV!G34)</f>
        <v>588</v>
      </c>
      <c r="Q32" s="7">
        <f>P32/O32*100</f>
        <v>58.333333333333336</v>
      </c>
      <c r="R32" s="117">
        <f>SUM(T.XIV!L34)</f>
        <v>1582</v>
      </c>
      <c r="S32" s="118">
        <f>SUM(T.XIV!M34)</f>
        <v>581</v>
      </c>
      <c r="T32" s="7">
        <f t="shared" si="11"/>
        <v>36.725663716814161</v>
      </c>
    </row>
    <row r="33" spans="2:20" ht="15.75" thickBot="1" x14ac:dyDescent="0.3">
      <c r="B33" s="204" t="s">
        <v>47</v>
      </c>
      <c r="C33" s="119">
        <v>285</v>
      </c>
      <c r="D33" s="121">
        <v>164</v>
      </c>
      <c r="E33" s="8">
        <f>D33/C33*100</f>
        <v>57.543859649122808</v>
      </c>
      <c r="F33" s="119">
        <v>420</v>
      </c>
      <c r="G33" s="121">
        <v>166</v>
      </c>
      <c r="H33" s="8">
        <f t="shared" si="0"/>
        <v>39.523809523809526</v>
      </c>
      <c r="I33" s="119">
        <v>258</v>
      </c>
      <c r="J33" s="121">
        <v>155</v>
      </c>
      <c r="K33" s="8">
        <f>J33/I33*100</f>
        <v>60.077519379844958</v>
      </c>
      <c r="L33" s="119">
        <v>399</v>
      </c>
      <c r="M33" s="121">
        <v>153</v>
      </c>
      <c r="N33" s="8">
        <f t="shared" si="10"/>
        <v>38.345864661654133</v>
      </c>
      <c r="O33" s="119">
        <f>SUM(T.XIV!F35)</f>
        <v>218</v>
      </c>
      <c r="P33" s="121">
        <f>SUM(T.XIV!G35)</f>
        <v>134</v>
      </c>
      <c r="Q33" s="8">
        <f>P33/O33*100</f>
        <v>61.467889908256879</v>
      </c>
      <c r="R33" s="119">
        <f>SUM(T.XIV!L35)</f>
        <v>361</v>
      </c>
      <c r="S33" s="121">
        <f>SUM(T.XIV!M35)</f>
        <v>142</v>
      </c>
      <c r="T33" s="8">
        <f t="shared" si="11"/>
        <v>39.335180055401665</v>
      </c>
    </row>
    <row r="34" spans="2:20" ht="13.5" customHeight="1" x14ac:dyDescent="0.25">
      <c r="B34" s="686" t="s">
        <v>172</v>
      </c>
      <c r="C34" s="686"/>
      <c r="D34" s="686"/>
      <c r="E34" s="686"/>
      <c r="F34" s="686"/>
      <c r="G34" s="686"/>
      <c r="H34" s="686"/>
    </row>
    <row r="35" spans="2:20" ht="14.25" customHeight="1" x14ac:dyDescent="0.25">
      <c r="B35" s="693" t="s">
        <v>503</v>
      </c>
      <c r="C35" s="693"/>
      <c r="D35" s="693"/>
      <c r="E35" s="693"/>
      <c r="F35" s="693"/>
      <c r="G35" s="693"/>
      <c r="H35" s="693"/>
      <c r="I35" s="274"/>
    </row>
    <row r="36" spans="2:20" ht="14.25" customHeight="1" x14ac:dyDescent="0.25">
      <c r="B36" s="599"/>
      <c r="C36" s="599"/>
      <c r="D36" s="599"/>
      <c r="E36" s="599"/>
      <c r="F36" s="599"/>
      <c r="G36" s="599"/>
      <c r="H36" s="599"/>
    </row>
    <row r="37" spans="2:20" ht="14.25" customHeight="1" x14ac:dyDescent="0.25">
      <c r="B37" s="11" t="s">
        <v>432</v>
      </c>
      <c r="C37" s="599"/>
      <c r="D37" s="599"/>
      <c r="E37" s="599"/>
      <c r="F37" s="599"/>
      <c r="G37" s="599"/>
      <c r="H37" s="599"/>
    </row>
    <row r="38" spans="2:20" ht="15.75" thickBot="1" x14ac:dyDescent="0.3">
      <c r="B38" s="11" t="s">
        <v>410</v>
      </c>
    </row>
    <row r="39" spans="2:20" ht="15.75" thickBot="1" x14ac:dyDescent="0.3">
      <c r="B39" s="927" t="s">
        <v>117</v>
      </c>
      <c r="C39" s="520"/>
      <c r="D39" s="518" t="s">
        <v>391</v>
      </c>
      <c r="E39" s="518"/>
      <c r="F39" s="519"/>
      <c r="G39" s="520"/>
      <c r="H39" s="518" t="s">
        <v>392</v>
      </c>
      <c r="I39" s="518"/>
      <c r="J39" s="519"/>
    </row>
    <row r="40" spans="2:20" x14ac:dyDescent="0.25">
      <c r="B40" s="984"/>
      <c r="C40" s="515" t="s">
        <v>389</v>
      </c>
      <c r="D40" s="556" t="s">
        <v>123</v>
      </c>
      <c r="E40" s="515" t="s">
        <v>123</v>
      </c>
      <c r="F40" s="556" t="s">
        <v>123</v>
      </c>
      <c r="G40" s="515" t="s">
        <v>389</v>
      </c>
      <c r="H40" s="556" t="s">
        <v>123</v>
      </c>
      <c r="I40" s="515" t="s">
        <v>123</v>
      </c>
      <c r="J40" s="556" t="s">
        <v>123</v>
      </c>
    </row>
    <row r="41" spans="2:20" ht="42" customHeight="1" x14ac:dyDescent="0.25">
      <c r="B41" s="984"/>
      <c r="C41" s="524" t="s">
        <v>498</v>
      </c>
      <c r="D41" s="597" t="s">
        <v>498</v>
      </c>
      <c r="E41" s="524" t="s">
        <v>499</v>
      </c>
      <c r="F41" s="597" t="s">
        <v>499</v>
      </c>
      <c r="G41" s="524" t="s">
        <v>500</v>
      </c>
      <c r="H41" s="597" t="s">
        <v>500</v>
      </c>
      <c r="I41" s="524" t="s">
        <v>501</v>
      </c>
      <c r="J41" s="597" t="s">
        <v>502</v>
      </c>
    </row>
    <row r="42" spans="2:20" ht="21.75" customHeight="1" x14ac:dyDescent="0.25">
      <c r="B42" s="984"/>
      <c r="C42" s="524" t="s">
        <v>121</v>
      </c>
      <c r="D42" s="597" t="s">
        <v>390</v>
      </c>
      <c r="E42" s="524" t="s">
        <v>121</v>
      </c>
      <c r="F42" s="597" t="s">
        <v>390</v>
      </c>
      <c r="G42" s="524" t="s">
        <v>121</v>
      </c>
      <c r="H42" s="597" t="s">
        <v>390</v>
      </c>
      <c r="I42" s="524" t="s">
        <v>121</v>
      </c>
      <c r="J42" s="597" t="s">
        <v>390</v>
      </c>
    </row>
    <row r="43" spans="2:20" ht="14.25" customHeight="1" thickBot="1" x14ac:dyDescent="0.3">
      <c r="B43" s="940"/>
      <c r="C43" s="516"/>
      <c r="D43" s="591"/>
      <c r="E43" s="516"/>
      <c r="F43" s="591"/>
      <c r="G43" s="516"/>
      <c r="H43" s="591"/>
      <c r="I43" s="516"/>
      <c r="J43" s="591"/>
    </row>
    <row r="44" spans="2:20" ht="19.5" thickBot="1" x14ac:dyDescent="0.3">
      <c r="B44" s="307" t="s">
        <v>22</v>
      </c>
      <c r="C44" s="526">
        <f t="shared" ref="C44:C69" si="20">O8-I8</f>
        <v>-3756</v>
      </c>
      <c r="D44" s="527">
        <f t="shared" ref="D44:D69" si="21">C44*100/I8</f>
        <v>-18.470617162527663</v>
      </c>
      <c r="E44" s="526">
        <f t="shared" ref="E44:E69" si="22">O8-C8</f>
        <v>-4701</v>
      </c>
      <c r="F44" s="527">
        <f t="shared" ref="F44:F69" si="23">E44*100/C8</f>
        <v>-22.091165413533833</v>
      </c>
      <c r="G44" s="526">
        <f t="shared" ref="G44:G69" si="24">R8-L8</f>
        <v>-1278</v>
      </c>
      <c r="H44" s="527">
        <f t="shared" ref="H44:H69" si="25">G44*100/L8</f>
        <v>-6.8540169473345491</v>
      </c>
      <c r="I44" s="526">
        <f t="shared" ref="I44:I69" si="26">R8-F8</f>
        <v>-1804</v>
      </c>
      <c r="J44" s="527">
        <f t="shared" ref="J44:J69" si="27">I44*100/F8</f>
        <v>-9.4095556019194664</v>
      </c>
    </row>
    <row r="45" spans="2:20" ht="15.75" thickTop="1" x14ac:dyDescent="0.25">
      <c r="B45" s="201" t="s">
        <v>23</v>
      </c>
      <c r="C45" s="205">
        <f t="shared" si="20"/>
        <v>-56</v>
      </c>
      <c r="D45" s="60">
        <f t="shared" si="21"/>
        <v>-16.816816816816818</v>
      </c>
      <c r="E45" s="205">
        <f t="shared" si="22"/>
        <v>-46</v>
      </c>
      <c r="F45" s="60">
        <f t="shared" si="23"/>
        <v>-14.241486068111454</v>
      </c>
      <c r="G45" s="205">
        <f t="shared" si="24"/>
        <v>-34</v>
      </c>
      <c r="H45" s="60">
        <f t="shared" si="25"/>
        <v>-12.454212454212454</v>
      </c>
      <c r="I45" s="205">
        <f t="shared" si="26"/>
        <v>-27</v>
      </c>
      <c r="J45" s="60">
        <f t="shared" si="27"/>
        <v>-10.150375939849624</v>
      </c>
    </row>
    <row r="46" spans="2:20" x14ac:dyDescent="0.25">
      <c r="B46" s="202" t="s">
        <v>24</v>
      </c>
      <c r="C46" s="56">
        <f t="shared" si="20"/>
        <v>-181</v>
      </c>
      <c r="D46" s="7">
        <f t="shared" si="21"/>
        <v>-16.365280289330922</v>
      </c>
      <c r="E46" s="56">
        <f t="shared" si="22"/>
        <v>-128</v>
      </c>
      <c r="F46" s="7">
        <f t="shared" si="23"/>
        <v>-12.155745489078823</v>
      </c>
      <c r="G46" s="56">
        <f t="shared" si="24"/>
        <v>-75</v>
      </c>
      <c r="H46" s="7">
        <f t="shared" si="25"/>
        <v>-7.0159027128157154</v>
      </c>
      <c r="I46" s="56">
        <f t="shared" si="26"/>
        <v>-17</v>
      </c>
      <c r="J46" s="7">
        <f t="shared" si="27"/>
        <v>-1.6815034619188922</v>
      </c>
    </row>
    <row r="47" spans="2:20" x14ac:dyDescent="0.25">
      <c r="B47" s="202" t="s">
        <v>25</v>
      </c>
      <c r="C47" s="56">
        <f t="shared" si="20"/>
        <v>-136</v>
      </c>
      <c r="D47" s="7">
        <f t="shared" si="21"/>
        <v>-17.96565389696169</v>
      </c>
      <c r="E47" s="56">
        <f t="shared" si="22"/>
        <v>-284</v>
      </c>
      <c r="F47" s="7">
        <f t="shared" si="23"/>
        <v>-31.381215469613259</v>
      </c>
      <c r="G47" s="56">
        <f t="shared" si="24"/>
        <v>-48</v>
      </c>
      <c r="H47" s="7">
        <f t="shared" si="25"/>
        <v>-7.441860465116279</v>
      </c>
      <c r="I47" s="56">
        <f t="shared" si="26"/>
        <v>-110</v>
      </c>
      <c r="J47" s="7">
        <f t="shared" si="27"/>
        <v>-15.558698727015559</v>
      </c>
    </row>
    <row r="48" spans="2:20" x14ac:dyDescent="0.25">
      <c r="B48" s="202" t="s">
        <v>26</v>
      </c>
      <c r="C48" s="56">
        <f t="shared" si="20"/>
        <v>-357</v>
      </c>
      <c r="D48" s="7">
        <f t="shared" si="21"/>
        <v>-23.784143904063956</v>
      </c>
      <c r="E48" s="56">
        <f t="shared" si="22"/>
        <v>-474</v>
      </c>
      <c r="F48" s="7">
        <f t="shared" si="23"/>
        <v>-29.295426452410382</v>
      </c>
      <c r="G48" s="56">
        <f t="shared" si="24"/>
        <v>-104</v>
      </c>
      <c r="H48" s="7">
        <f t="shared" si="25"/>
        <v>-8.3400160384923812</v>
      </c>
      <c r="I48" s="56">
        <f t="shared" si="26"/>
        <v>-173</v>
      </c>
      <c r="J48" s="7">
        <f t="shared" si="27"/>
        <v>-13.145896656534955</v>
      </c>
    </row>
    <row r="49" spans="2:10" x14ac:dyDescent="0.25">
      <c r="B49" s="202" t="s">
        <v>27</v>
      </c>
      <c r="C49" s="56">
        <f t="shared" si="20"/>
        <v>-279</v>
      </c>
      <c r="D49" s="7">
        <f t="shared" si="21"/>
        <v>-20.728083209509659</v>
      </c>
      <c r="E49" s="56">
        <f t="shared" si="22"/>
        <v>-335</v>
      </c>
      <c r="F49" s="7">
        <f t="shared" si="23"/>
        <v>-23.894436519258203</v>
      </c>
      <c r="G49" s="56">
        <f t="shared" si="24"/>
        <v>-75</v>
      </c>
      <c r="H49" s="7">
        <f t="shared" si="25"/>
        <v>-6.2656641604010028</v>
      </c>
      <c r="I49" s="56">
        <f t="shared" si="26"/>
        <v>-84</v>
      </c>
      <c r="J49" s="7">
        <f t="shared" si="27"/>
        <v>-6.9651741293532341</v>
      </c>
    </row>
    <row r="50" spans="2:10" x14ac:dyDescent="0.25">
      <c r="B50" s="202" t="s">
        <v>28</v>
      </c>
      <c r="C50" s="56">
        <f t="shared" si="20"/>
        <v>-85</v>
      </c>
      <c r="D50" s="7">
        <f t="shared" si="21"/>
        <v>-17.137096774193548</v>
      </c>
      <c r="E50" s="56">
        <f t="shared" si="22"/>
        <v>-92</v>
      </c>
      <c r="F50" s="7">
        <f t="shared" si="23"/>
        <v>-18.290258449304176</v>
      </c>
      <c r="G50" s="56">
        <f t="shared" si="24"/>
        <v>-7</v>
      </c>
      <c r="H50" s="7">
        <f t="shared" si="25"/>
        <v>-1.4830508474576272</v>
      </c>
      <c r="I50" s="56">
        <f t="shared" si="26"/>
        <v>-27</v>
      </c>
      <c r="J50" s="7">
        <f t="shared" si="27"/>
        <v>-5.4878048780487809</v>
      </c>
    </row>
    <row r="51" spans="2:10" x14ac:dyDescent="0.25">
      <c r="B51" s="202" t="s">
        <v>29</v>
      </c>
      <c r="C51" s="56">
        <f t="shared" si="20"/>
        <v>-81</v>
      </c>
      <c r="D51" s="7">
        <f t="shared" si="21"/>
        <v>-17.532467532467532</v>
      </c>
      <c r="E51" s="56">
        <f t="shared" si="22"/>
        <v>-211</v>
      </c>
      <c r="F51" s="7">
        <f t="shared" si="23"/>
        <v>-35.641891891891895</v>
      </c>
      <c r="G51" s="56">
        <f t="shared" si="24"/>
        <v>-18</v>
      </c>
      <c r="H51" s="7">
        <f t="shared" si="25"/>
        <v>-3.2315978456014363</v>
      </c>
      <c r="I51" s="56">
        <f t="shared" si="26"/>
        <v>-49</v>
      </c>
      <c r="J51" s="7">
        <f t="shared" si="27"/>
        <v>-8.3333333333333339</v>
      </c>
    </row>
    <row r="52" spans="2:10" x14ac:dyDescent="0.25">
      <c r="B52" s="202" t="s">
        <v>30</v>
      </c>
      <c r="C52" s="56">
        <f t="shared" si="20"/>
        <v>-77</v>
      </c>
      <c r="D52" s="7">
        <f t="shared" si="21"/>
        <v>-15.746421267893661</v>
      </c>
      <c r="E52" s="56">
        <f t="shared" si="22"/>
        <v>-17</v>
      </c>
      <c r="F52" s="7">
        <f t="shared" si="23"/>
        <v>-3.9627039627039626</v>
      </c>
      <c r="G52" s="56">
        <f t="shared" si="24"/>
        <v>-37</v>
      </c>
      <c r="H52" s="7">
        <f t="shared" si="25"/>
        <v>-8.8729016786570742</v>
      </c>
      <c r="I52" s="56">
        <f t="shared" si="26"/>
        <v>0</v>
      </c>
      <c r="J52" s="7">
        <f t="shared" si="27"/>
        <v>0</v>
      </c>
    </row>
    <row r="53" spans="2:10" x14ac:dyDescent="0.25">
      <c r="B53" s="202" t="s">
        <v>31</v>
      </c>
      <c r="C53" s="56">
        <f t="shared" si="20"/>
        <v>-193</v>
      </c>
      <c r="D53" s="7">
        <f t="shared" si="21"/>
        <v>-17.69019248395967</v>
      </c>
      <c r="E53" s="56">
        <f t="shared" si="22"/>
        <v>-189</v>
      </c>
      <c r="F53" s="7">
        <f t="shared" si="23"/>
        <v>-17.387304507819689</v>
      </c>
      <c r="G53" s="56">
        <f t="shared" si="24"/>
        <v>-75</v>
      </c>
      <c r="H53" s="7">
        <f t="shared" si="25"/>
        <v>-9.316770186335404</v>
      </c>
      <c r="I53" s="56">
        <f t="shared" si="26"/>
        <v>-70</v>
      </c>
      <c r="J53" s="7">
        <f t="shared" si="27"/>
        <v>-8.75</v>
      </c>
    </row>
    <row r="54" spans="2:10" x14ac:dyDescent="0.25">
      <c r="B54" s="202" t="s">
        <v>32</v>
      </c>
      <c r="C54" s="56">
        <f t="shared" si="20"/>
        <v>-160</v>
      </c>
      <c r="D54" s="7">
        <f t="shared" si="21"/>
        <v>-27.444253859348198</v>
      </c>
      <c r="E54" s="56">
        <f t="shared" si="22"/>
        <v>-79</v>
      </c>
      <c r="F54" s="7">
        <f t="shared" si="23"/>
        <v>-15.737051792828685</v>
      </c>
      <c r="G54" s="56">
        <f t="shared" si="24"/>
        <v>-54</v>
      </c>
      <c r="H54" s="7">
        <f t="shared" si="25"/>
        <v>-10.526315789473685</v>
      </c>
      <c r="I54" s="56">
        <f t="shared" si="26"/>
        <v>-55</v>
      </c>
      <c r="J54" s="7">
        <f t="shared" si="27"/>
        <v>-10.700389105058365</v>
      </c>
    </row>
    <row r="55" spans="2:10" x14ac:dyDescent="0.25">
      <c r="B55" s="202" t="s">
        <v>33</v>
      </c>
      <c r="C55" s="56">
        <f t="shared" si="20"/>
        <v>-158</v>
      </c>
      <c r="D55" s="7">
        <f t="shared" si="21"/>
        <v>-16.579223504721931</v>
      </c>
      <c r="E55" s="56">
        <f t="shared" si="22"/>
        <v>-164</v>
      </c>
      <c r="F55" s="7">
        <f t="shared" si="23"/>
        <v>-17.101147028154326</v>
      </c>
      <c r="G55" s="56">
        <f t="shared" si="24"/>
        <v>-45</v>
      </c>
      <c r="H55" s="7">
        <f t="shared" si="25"/>
        <v>-6.1141304347826084</v>
      </c>
      <c r="I55" s="56">
        <f t="shared" si="26"/>
        <v>-75</v>
      </c>
      <c r="J55" s="7">
        <f t="shared" si="27"/>
        <v>-9.7911227154047005</v>
      </c>
    </row>
    <row r="56" spans="2:10" x14ac:dyDescent="0.25">
      <c r="B56" s="202" t="s">
        <v>34</v>
      </c>
      <c r="C56" s="56">
        <f t="shared" si="20"/>
        <v>-181</v>
      </c>
      <c r="D56" s="7">
        <f t="shared" si="21"/>
        <v>-23.910171730515192</v>
      </c>
      <c r="E56" s="56">
        <f t="shared" si="22"/>
        <v>-219</v>
      </c>
      <c r="F56" s="7">
        <f t="shared" si="23"/>
        <v>-27.547169811320753</v>
      </c>
      <c r="G56" s="56">
        <f t="shared" si="24"/>
        <v>-17</v>
      </c>
      <c r="H56" s="7">
        <f t="shared" si="25"/>
        <v>-2.4355300859598854</v>
      </c>
      <c r="I56" s="56">
        <f t="shared" si="26"/>
        <v>-117</v>
      </c>
      <c r="J56" s="7">
        <f t="shared" si="27"/>
        <v>-14.661654135338345</v>
      </c>
    </row>
    <row r="57" spans="2:10" x14ac:dyDescent="0.25">
      <c r="B57" s="202" t="s">
        <v>35</v>
      </c>
      <c r="C57" s="56">
        <f t="shared" si="20"/>
        <v>-169</v>
      </c>
      <c r="D57" s="7">
        <f t="shared" si="21"/>
        <v>-17.604166666666668</v>
      </c>
      <c r="E57" s="56">
        <f t="shared" si="22"/>
        <v>-233</v>
      </c>
      <c r="F57" s="7">
        <f t="shared" si="23"/>
        <v>-22.75390625</v>
      </c>
      <c r="G57" s="56">
        <f t="shared" si="24"/>
        <v>-23</v>
      </c>
      <c r="H57" s="7">
        <f t="shared" si="25"/>
        <v>-2.8395061728395063</v>
      </c>
      <c r="I57" s="56">
        <f t="shared" si="26"/>
        <v>-26</v>
      </c>
      <c r="J57" s="7">
        <f t="shared" si="27"/>
        <v>-3.1980319803198034</v>
      </c>
    </row>
    <row r="58" spans="2:10" x14ac:dyDescent="0.25">
      <c r="B58" s="203" t="s">
        <v>36</v>
      </c>
      <c r="C58" s="56">
        <f t="shared" si="20"/>
        <v>-314</v>
      </c>
      <c r="D58" s="7">
        <f t="shared" si="21"/>
        <v>-28.519527702089011</v>
      </c>
      <c r="E58" s="56">
        <f t="shared" si="22"/>
        <v>-245</v>
      </c>
      <c r="F58" s="7">
        <f t="shared" si="23"/>
        <v>-23.740310077519378</v>
      </c>
      <c r="G58" s="56">
        <f t="shared" si="24"/>
        <v>-104</v>
      </c>
      <c r="H58" s="7">
        <f t="shared" si="25"/>
        <v>-12.410501193317423</v>
      </c>
      <c r="I58" s="56">
        <f t="shared" si="26"/>
        <v>-78</v>
      </c>
      <c r="J58" s="7">
        <f t="shared" si="27"/>
        <v>-9.6059113300492616</v>
      </c>
    </row>
    <row r="59" spans="2:10" x14ac:dyDescent="0.25">
      <c r="B59" s="203" t="s">
        <v>37</v>
      </c>
      <c r="C59" s="56">
        <f t="shared" si="20"/>
        <v>-142</v>
      </c>
      <c r="D59" s="7">
        <f t="shared" si="21"/>
        <v>-13.01558203483043</v>
      </c>
      <c r="E59" s="56">
        <f t="shared" si="22"/>
        <v>-119</v>
      </c>
      <c r="F59" s="7">
        <f t="shared" si="23"/>
        <v>-11.142322097378278</v>
      </c>
      <c r="G59" s="56">
        <f t="shared" si="24"/>
        <v>-93</v>
      </c>
      <c r="H59" s="7">
        <f t="shared" si="25"/>
        <v>-11.425061425061426</v>
      </c>
      <c r="I59" s="56">
        <f t="shared" si="26"/>
        <v>-50</v>
      </c>
      <c r="J59" s="7">
        <f t="shared" si="27"/>
        <v>-6.4850843060959793</v>
      </c>
    </row>
    <row r="60" spans="2:10" x14ac:dyDescent="0.25">
      <c r="B60" s="203" t="s">
        <v>38</v>
      </c>
      <c r="C60" s="56">
        <f t="shared" si="20"/>
        <v>-94</v>
      </c>
      <c r="D60" s="7">
        <f t="shared" si="21"/>
        <v>-10.217391304347826</v>
      </c>
      <c r="E60" s="56">
        <f t="shared" si="22"/>
        <v>-177</v>
      </c>
      <c r="F60" s="7">
        <f t="shared" si="23"/>
        <v>-17.647058823529413</v>
      </c>
      <c r="G60" s="56">
        <f t="shared" si="24"/>
        <v>-28</v>
      </c>
      <c r="H60" s="7">
        <f t="shared" si="25"/>
        <v>-4.0172166427546632</v>
      </c>
      <c r="I60" s="56">
        <f t="shared" si="26"/>
        <v>-36</v>
      </c>
      <c r="J60" s="7">
        <f t="shared" si="27"/>
        <v>-5.1063829787234045</v>
      </c>
    </row>
    <row r="61" spans="2:10" x14ac:dyDescent="0.25">
      <c r="B61" s="203" t="s">
        <v>39</v>
      </c>
      <c r="C61" s="56">
        <f t="shared" si="20"/>
        <v>-283</v>
      </c>
      <c r="D61" s="7">
        <f t="shared" si="21"/>
        <v>-17.765222849968612</v>
      </c>
      <c r="E61" s="56">
        <f t="shared" si="22"/>
        <v>-520</v>
      </c>
      <c r="F61" s="7">
        <f t="shared" si="23"/>
        <v>-28.415300546448087</v>
      </c>
      <c r="G61" s="56">
        <f t="shared" si="24"/>
        <v>-111</v>
      </c>
      <c r="H61" s="7">
        <f t="shared" si="25"/>
        <v>-8.3521444695259586</v>
      </c>
      <c r="I61" s="56">
        <f t="shared" si="26"/>
        <v>-187</v>
      </c>
      <c r="J61" s="7">
        <f t="shared" si="27"/>
        <v>-13.309608540925266</v>
      </c>
    </row>
    <row r="62" spans="2:10" x14ac:dyDescent="0.25">
      <c r="B62" s="203" t="s">
        <v>40</v>
      </c>
      <c r="C62" s="56">
        <f t="shared" si="20"/>
        <v>-100</v>
      </c>
      <c r="D62" s="7">
        <f t="shared" si="21"/>
        <v>-14.492753623188406</v>
      </c>
      <c r="E62" s="56">
        <f t="shared" si="22"/>
        <v>-49</v>
      </c>
      <c r="F62" s="7">
        <f t="shared" si="23"/>
        <v>-7.6682316118935834</v>
      </c>
      <c r="G62" s="56">
        <f t="shared" si="24"/>
        <v>18</v>
      </c>
      <c r="H62" s="7">
        <f t="shared" si="25"/>
        <v>3.1468531468531467</v>
      </c>
      <c r="I62" s="56">
        <f t="shared" si="26"/>
        <v>-73</v>
      </c>
      <c r="J62" s="7">
        <f t="shared" si="27"/>
        <v>-11.010558069381599</v>
      </c>
    </row>
    <row r="63" spans="2:10" x14ac:dyDescent="0.25">
      <c r="B63" s="203" t="s">
        <v>41</v>
      </c>
      <c r="C63" s="56">
        <f t="shared" si="20"/>
        <v>-144</v>
      </c>
      <c r="D63" s="7">
        <f t="shared" si="21"/>
        <v>-24.406779661016948</v>
      </c>
      <c r="E63" s="56">
        <f t="shared" si="22"/>
        <v>-195</v>
      </c>
      <c r="F63" s="7">
        <f t="shared" si="23"/>
        <v>-30.421216848673946</v>
      </c>
      <c r="G63" s="56">
        <f t="shared" si="24"/>
        <v>-52</v>
      </c>
      <c r="H63" s="7">
        <f t="shared" si="25"/>
        <v>-8.360128617363344</v>
      </c>
      <c r="I63" s="56">
        <f t="shared" si="26"/>
        <v>-78</v>
      </c>
      <c r="J63" s="7">
        <f t="shared" si="27"/>
        <v>-12.037037037037036</v>
      </c>
    </row>
    <row r="64" spans="2:10" x14ac:dyDescent="0.25">
      <c r="B64" s="203" t="s">
        <v>42</v>
      </c>
      <c r="C64" s="56">
        <f t="shared" si="20"/>
        <v>-108</v>
      </c>
      <c r="D64" s="7">
        <f t="shared" si="21"/>
        <v>-11.099691675231243</v>
      </c>
      <c r="E64" s="56">
        <f t="shared" si="22"/>
        <v>-137</v>
      </c>
      <c r="F64" s="7">
        <f t="shared" si="23"/>
        <v>-13.672654690618762</v>
      </c>
      <c r="G64" s="56">
        <f t="shared" si="24"/>
        <v>-62</v>
      </c>
      <c r="H64" s="7">
        <f t="shared" si="25"/>
        <v>-7.4162679425837323</v>
      </c>
      <c r="I64" s="56">
        <f t="shared" si="26"/>
        <v>-40</v>
      </c>
      <c r="J64" s="7">
        <f t="shared" si="27"/>
        <v>-4.9140049140049138</v>
      </c>
    </row>
    <row r="65" spans="2:10" x14ac:dyDescent="0.25">
      <c r="B65" s="203" t="s">
        <v>43</v>
      </c>
      <c r="C65" s="56">
        <f t="shared" si="20"/>
        <v>-90</v>
      </c>
      <c r="D65" s="7">
        <f t="shared" si="21"/>
        <v>-20.97902097902098</v>
      </c>
      <c r="E65" s="56">
        <f t="shared" si="22"/>
        <v>-84</v>
      </c>
      <c r="F65" s="7">
        <f t="shared" si="23"/>
        <v>-19.858156028368793</v>
      </c>
      <c r="G65" s="56">
        <f t="shared" si="24"/>
        <v>-61</v>
      </c>
      <c r="H65" s="7">
        <f t="shared" si="25"/>
        <v>-13.863636363636363</v>
      </c>
      <c r="I65" s="56">
        <f t="shared" si="26"/>
        <v>-53</v>
      </c>
      <c r="J65" s="7">
        <f t="shared" si="27"/>
        <v>-12.268518518518519</v>
      </c>
    </row>
    <row r="66" spans="2:10" x14ac:dyDescent="0.25">
      <c r="B66" s="203" t="s">
        <v>44</v>
      </c>
      <c r="C66" s="56">
        <f t="shared" si="20"/>
        <v>-21</v>
      </c>
      <c r="D66" s="7">
        <f t="shared" si="21"/>
        <v>-15.671641791044776</v>
      </c>
      <c r="E66" s="56">
        <f t="shared" si="22"/>
        <v>-28</v>
      </c>
      <c r="F66" s="7">
        <f t="shared" si="23"/>
        <v>-19.858156028368793</v>
      </c>
      <c r="G66" s="56">
        <f t="shared" si="24"/>
        <v>-3</v>
      </c>
      <c r="H66" s="7">
        <f t="shared" si="25"/>
        <v>-1.5789473684210527</v>
      </c>
      <c r="I66" s="56">
        <f t="shared" si="26"/>
        <v>-50</v>
      </c>
      <c r="J66" s="7">
        <f t="shared" si="27"/>
        <v>-21.09704641350211</v>
      </c>
    </row>
    <row r="67" spans="2:10" x14ac:dyDescent="0.25">
      <c r="B67" s="203" t="s">
        <v>45</v>
      </c>
      <c r="C67" s="56">
        <f t="shared" si="20"/>
        <v>-97</v>
      </c>
      <c r="D67" s="7">
        <f t="shared" si="21"/>
        <v>-19.246031746031747</v>
      </c>
      <c r="E67" s="56">
        <f t="shared" si="22"/>
        <v>-138</v>
      </c>
      <c r="F67" s="7">
        <f t="shared" si="23"/>
        <v>-25.321100917431192</v>
      </c>
      <c r="G67" s="56">
        <f t="shared" si="24"/>
        <v>-75</v>
      </c>
      <c r="H67" s="7">
        <f t="shared" si="25"/>
        <v>-9.025270758122744</v>
      </c>
      <c r="I67" s="56">
        <f t="shared" si="26"/>
        <v>-58</v>
      </c>
      <c r="J67" s="7">
        <f t="shared" si="27"/>
        <v>-7.125307125307125</v>
      </c>
    </row>
    <row r="68" spans="2:10" x14ac:dyDescent="0.25">
      <c r="B68" s="203" t="s">
        <v>46</v>
      </c>
      <c r="C68" s="56">
        <f t="shared" si="20"/>
        <v>-210</v>
      </c>
      <c r="D68" s="7">
        <f t="shared" si="21"/>
        <v>-17.241379310344829</v>
      </c>
      <c r="E68" s="56">
        <f t="shared" si="22"/>
        <v>-471</v>
      </c>
      <c r="F68" s="7">
        <f t="shared" si="23"/>
        <v>-31.845841784989858</v>
      </c>
      <c r="G68" s="56">
        <f t="shared" si="24"/>
        <v>-57</v>
      </c>
      <c r="H68" s="7">
        <f t="shared" si="25"/>
        <v>-3.4777303233679073</v>
      </c>
      <c r="I68" s="56">
        <f t="shared" si="26"/>
        <v>-212</v>
      </c>
      <c r="J68" s="7">
        <f t="shared" si="27"/>
        <v>-11.81716833890747</v>
      </c>
    </row>
    <row r="69" spans="2:10" ht="15.75" thickBot="1" x14ac:dyDescent="0.3">
      <c r="B69" s="204" t="s">
        <v>47</v>
      </c>
      <c r="C69" s="3">
        <f t="shared" si="20"/>
        <v>-40</v>
      </c>
      <c r="D69" s="8">
        <f t="shared" si="21"/>
        <v>-15.503875968992247</v>
      </c>
      <c r="E69" s="3">
        <f t="shared" si="22"/>
        <v>-67</v>
      </c>
      <c r="F69" s="8">
        <f t="shared" si="23"/>
        <v>-23.508771929824562</v>
      </c>
      <c r="G69" s="3">
        <f t="shared" si="24"/>
        <v>-38</v>
      </c>
      <c r="H69" s="8">
        <f t="shared" si="25"/>
        <v>-9.5238095238095237</v>
      </c>
      <c r="I69" s="3">
        <f t="shared" si="26"/>
        <v>-59</v>
      </c>
      <c r="J69" s="8">
        <f t="shared" si="27"/>
        <v>-14.047619047619047</v>
      </c>
    </row>
  </sheetData>
  <mergeCells count="23">
    <mergeCell ref="B39:B43"/>
    <mergeCell ref="I4:N4"/>
    <mergeCell ref="I5:K5"/>
    <mergeCell ref="L5:N5"/>
    <mergeCell ref="I6:I7"/>
    <mergeCell ref="J6:K6"/>
    <mergeCell ref="D6:E6"/>
    <mergeCell ref="F6:F7"/>
    <mergeCell ref="G6:H6"/>
    <mergeCell ref="B3:B7"/>
    <mergeCell ref="C4:H4"/>
    <mergeCell ref="L6:L7"/>
    <mergeCell ref="M6:N6"/>
    <mergeCell ref="C5:E5"/>
    <mergeCell ref="F5:H5"/>
    <mergeCell ref="C6:C7"/>
    <mergeCell ref="O4:T4"/>
    <mergeCell ref="O5:Q5"/>
    <mergeCell ref="R5:T5"/>
    <mergeCell ref="O6:O7"/>
    <mergeCell ref="P6:Q6"/>
    <mergeCell ref="R6:R7"/>
    <mergeCell ref="S6:T6"/>
  </mergeCells>
  <printOptions horizontalCentered="1"/>
  <pageMargins left="0.31496062992125984" right="3.937007874015748E-2" top="0.6692913385826772" bottom="3.937007874015748E-2" header="3.937007874015748E-2" footer="0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1:N68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3.85546875" style="84" customWidth="1"/>
    <col min="2" max="2" width="30.28515625" style="84" customWidth="1"/>
    <col min="3" max="3" width="13.85546875" style="84" customWidth="1"/>
    <col min="4" max="4" width="14.7109375" style="84" customWidth="1"/>
    <col min="5" max="5" width="14.140625" style="84" customWidth="1"/>
    <col min="6" max="6" width="15.28515625" style="84" customWidth="1"/>
    <col min="7" max="7" width="13.7109375" style="84" customWidth="1"/>
    <col min="8" max="8" width="11.85546875" style="84" customWidth="1"/>
    <col min="9" max="9" width="12.85546875" style="84" customWidth="1"/>
    <col min="10" max="11" width="12.5703125" style="84" customWidth="1"/>
    <col min="12" max="12" width="13" style="84" customWidth="1"/>
    <col min="13" max="13" width="14.140625" style="84" customWidth="1"/>
    <col min="14" max="14" width="13.28515625" style="84" customWidth="1"/>
    <col min="15" max="15" width="14.28515625" style="84" customWidth="1"/>
    <col min="16" max="16384" width="9.140625" style="84"/>
  </cols>
  <sheetData>
    <row r="1" spans="2:14" x14ac:dyDescent="0.25">
      <c r="B1" s="11" t="s">
        <v>430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2:14" ht="16.5" customHeight="1" thickBot="1" x14ac:dyDescent="0.3">
      <c r="B2" s="11" t="s">
        <v>284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54"/>
      <c r="N2" s="380"/>
    </row>
    <row r="3" spans="2:14" x14ac:dyDescent="0.25">
      <c r="B3" s="927" t="s">
        <v>117</v>
      </c>
      <c r="C3" s="897" t="s">
        <v>411</v>
      </c>
      <c r="D3" s="924"/>
      <c r="E3" s="900"/>
      <c r="F3" s="897" t="s">
        <v>471</v>
      </c>
      <c r="G3" s="924"/>
      <c r="H3" s="900"/>
      <c r="I3" s="897" t="s">
        <v>472</v>
      </c>
      <c r="J3" s="924"/>
      <c r="K3" s="898"/>
    </row>
    <row r="4" spans="2:14" ht="19.5" customHeight="1" x14ac:dyDescent="0.25">
      <c r="B4" s="984"/>
      <c r="C4" s="994" t="s">
        <v>169</v>
      </c>
      <c r="D4" s="996"/>
      <c r="E4" s="933"/>
      <c r="F4" s="994" t="s">
        <v>169</v>
      </c>
      <c r="G4" s="996"/>
      <c r="H4" s="933"/>
      <c r="I4" s="994" t="s">
        <v>169</v>
      </c>
      <c r="J4" s="996"/>
      <c r="K4" s="889"/>
    </row>
    <row r="5" spans="2:14" ht="17.25" customHeight="1" x14ac:dyDescent="0.25">
      <c r="B5" s="984"/>
      <c r="C5" s="993" t="s">
        <v>4</v>
      </c>
      <c r="D5" s="991" t="s">
        <v>103</v>
      </c>
      <c r="E5" s="997"/>
      <c r="F5" s="993" t="s">
        <v>4</v>
      </c>
      <c r="G5" s="991" t="s">
        <v>103</v>
      </c>
      <c r="H5" s="997"/>
      <c r="I5" s="993" t="s">
        <v>4</v>
      </c>
      <c r="J5" s="991" t="s">
        <v>103</v>
      </c>
      <c r="K5" s="992"/>
    </row>
    <row r="6" spans="2:14" ht="23.25" customHeight="1" thickBot="1" x14ac:dyDescent="0.3">
      <c r="B6" s="940"/>
      <c r="C6" s="975"/>
      <c r="D6" s="590" t="s">
        <v>121</v>
      </c>
      <c r="E6" s="592" t="s">
        <v>484</v>
      </c>
      <c r="F6" s="975"/>
      <c r="G6" s="590" t="s">
        <v>121</v>
      </c>
      <c r="H6" s="689" t="s">
        <v>484</v>
      </c>
      <c r="I6" s="975"/>
      <c r="J6" s="687" t="s">
        <v>121</v>
      </c>
      <c r="K6" s="688" t="s">
        <v>484</v>
      </c>
    </row>
    <row r="7" spans="2:14" ht="27" customHeight="1" thickBot="1" x14ac:dyDescent="0.3">
      <c r="B7" s="307" t="s">
        <v>22</v>
      </c>
      <c r="C7" s="308">
        <f>SUM(C8:C32)</f>
        <v>48433</v>
      </c>
      <c r="D7" s="309">
        <f>SUM(D8:D32)</f>
        <v>27427</v>
      </c>
      <c r="E7" s="311">
        <f>D7*100/C7</f>
        <v>56.628744864038978</v>
      </c>
      <c r="F7" s="308">
        <f>SUM(F8:F32)</f>
        <v>46764</v>
      </c>
      <c r="G7" s="309">
        <f>SUM(G8:G32)</f>
        <v>26350</v>
      </c>
      <c r="H7" s="311">
        <f>G7*100/F7</f>
        <v>56.346762466854848</v>
      </c>
      <c r="I7" s="308">
        <f>SUM(I8:I32)</f>
        <v>42099</v>
      </c>
      <c r="J7" s="309">
        <f>SUM(J8:J32)</f>
        <v>23832</v>
      </c>
      <c r="K7" s="310">
        <f>J7*100/I7</f>
        <v>56.609420651321884</v>
      </c>
    </row>
    <row r="8" spans="2:14" ht="15.75" thickTop="1" x14ac:dyDescent="0.25">
      <c r="B8" s="201" t="s">
        <v>23</v>
      </c>
      <c r="C8" s="205">
        <v>771</v>
      </c>
      <c r="D8" s="206">
        <v>430</v>
      </c>
      <c r="E8" s="312">
        <f t="shared" ref="E8:E31" si="0">D8*100/C8</f>
        <v>55.771725032425422</v>
      </c>
      <c r="F8" s="205">
        <v>760</v>
      </c>
      <c r="G8" s="206">
        <v>420</v>
      </c>
      <c r="H8" s="312">
        <f t="shared" ref="H8:H31" si="1">G8*100/F8</f>
        <v>55.263157894736842</v>
      </c>
      <c r="I8" s="205">
        <v>651</v>
      </c>
      <c r="J8" s="206">
        <v>369</v>
      </c>
      <c r="K8" s="60">
        <f t="shared" ref="K8:K32" si="2">J8*100/I8</f>
        <v>56.682027649769587</v>
      </c>
    </row>
    <row r="9" spans="2:14" x14ac:dyDescent="0.25">
      <c r="B9" s="202" t="s">
        <v>24</v>
      </c>
      <c r="C9" s="56">
        <v>2703</v>
      </c>
      <c r="D9" s="9">
        <v>1601</v>
      </c>
      <c r="E9" s="312">
        <f t="shared" si="0"/>
        <v>59.230484646688865</v>
      </c>
      <c r="F9" s="56">
        <v>2781</v>
      </c>
      <c r="G9" s="9">
        <v>1568</v>
      </c>
      <c r="H9" s="312">
        <f t="shared" si="1"/>
        <v>56.382596188421431</v>
      </c>
      <c r="I9" s="56">
        <v>2617</v>
      </c>
      <c r="J9" s="9">
        <v>1504</v>
      </c>
      <c r="K9" s="60">
        <f t="shared" si="2"/>
        <v>57.47038593809706</v>
      </c>
    </row>
    <row r="10" spans="2:14" x14ac:dyDescent="0.25">
      <c r="B10" s="202" t="s">
        <v>25</v>
      </c>
      <c r="C10" s="56">
        <v>1515</v>
      </c>
      <c r="D10" s="9">
        <v>1036</v>
      </c>
      <c r="E10" s="312">
        <f t="shared" si="0"/>
        <v>68.382838283828377</v>
      </c>
      <c r="F10" s="56">
        <v>1325</v>
      </c>
      <c r="G10" s="9">
        <v>920</v>
      </c>
      <c r="H10" s="312">
        <f t="shared" si="1"/>
        <v>69.433962264150949</v>
      </c>
      <c r="I10" s="56">
        <v>1204</v>
      </c>
      <c r="J10" s="9">
        <v>854</v>
      </c>
      <c r="K10" s="60">
        <f t="shared" si="2"/>
        <v>70.930232558139537</v>
      </c>
    </row>
    <row r="11" spans="2:14" x14ac:dyDescent="0.25">
      <c r="B11" s="202" t="s">
        <v>26</v>
      </c>
      <c r="C11" s="56">
        <v>3598</v>
      </c>
      <c r="D11" s="9">
        <v>1997</v>
      </c>
      <c r="E11" s="312">
        <f t="shared" si="0"/>
        <v>55.503057254030018</v>
      </c>
      <c r="F11" s="56">
        <v>3339</v>
      </c>
      <c r="G11" s="9">
        <v>1880</v>
      </c>
      <c r="H11" s="312">
        <f t="shared" si="1"/>
        <v>56.304282719377056</v>
      </c>
      <c r="I11" s="56">
        <v>2937</v>
      </c>
      <c r="J11" s="9">
        <v>1708</v>
      </c>
      <c r="K11" s="60">
        <f t="shared" si="2"/>
        <v>58.154579502894109</v>
      </c>
    </row>
    <row r="12" spans="2:14" x14ac:dyDescent="0.25">
      <c r="B12" s="202" t="s">
        <v>27</v>
      </c>
      <c r="C12" s="56">
        <v>3687</v>
      </c>
      <c r="D12" s="9">
        <v>2331</v>
      </c>
      <c r="E12" s="312">
        <f t="shared" si="0"/>
        <v>63.222131814483319</v>
      </c>
      <c r="F12" s="56">
        <v>3645</v>
      </c>
      <c r="G12" s="9">
        <v>2306</v>
      </c>
      <c r="H12" s="312">
        <f t="shared" si="1"/>
        <v>63.264746227709189</v>
      </c>
      <c r="I12" s="56">
        <v>3179</v>
      </c>
      <c r="J12" s="9">
        <v>2016</v>
      </c>
      <c r="K12" s="60">
        <f t="shared" si="2"/>
        <v>63.416168606480028</v>
      </c>
    </row>
    <row r="13" spans="2:14" x14ac:dyDescent="0.25">
      <c r="B13" s="202" t="s">
        <v>28</v>
      </c>
      <c r="C13" s="56">
        <v>965</v>
      </c>
      <c r="D13" s="9">
        <v>562</v>
      </c>
      <c r="E13" s="312">
        <f t="shared" si="0"/>
        <v>58.238341968911918</v>
      </c>
      <c r="F13" s="56">
        <v>905</v>
      </c>
      <c r="G13" s="9">
        <v>534</v>
      </c>
      <c r="H13" s="312">
        <f t="shared" si="1"/>
        <v>59.005524861878456</v>
      </c>
      <c r="I13" s="56">
        <v>851</v>
      </c>
      <c r="J13" s="9">
        <v>492</v>
      </c>
      <c r="K13" s="60">
        <f t="shared" si="2"/>
        <v>57.814336075205638</v>
      </c>
    </row>
    <row r="14" spans="2:14" x14ac:dyDescent="0.25">
      <c r="B14" s="202" t="s">
        <v>29</v>
      </c>
      <c r="C14" s="56">
        <v>1026</v>
      </c>
      <c r="D14" s="9">
        <v>610</v>
      </c>
      <c r="E14" s="312">
        <f t="shared" si="0"/>
        <v>59.4541910331384</v>
      </c>
      <c r="F14" s="56">
        <v>1009</v>
      </c>
      <c r="G14" s="9">
        <v>608</v>
      </c>
      <c r="H14" s="312">
        <f t="shared" si="1"/>
        <v>60.257680872150644</v>
      </c>
      <c r="I14" s="56">
        <v>954</v>
      </c>
      <c r="J14" s="9">
        <v>550</v>
      </c>
      <c r="K14" s="60">
        <f t="shared" si="2"/>
        <v>57.651991614255763</v>
      </c>
    </row>
    <row r="15" spans="2:14" x14ac:dyDescent="0.25">
      <c r="B15" s="202" t="s">
        <v>30</v>
      </c>
      <c r="C15" s="56">
        <v>1046</v>
      </c>
      <c r="D15" s="9">
        <v>503</v>
      </c>
      <c r="E15" s="312">
        <f t="shared" si="0"/>
        <v>48.087954110898664</v>
      </c>
      <c r="F15" s="56">
        <v>1082</v>
      </c>
      <c r="G15" s="9">
        <v>512</v>
      </c>
      <c r="H15" s="312">
        <f t="shared" si="1"/>
        <v>47.319778188539743</v>
      </c>
      <c r="I15" s="56">
        <v>1022</v>
      </c>
      <c r="J15" s="9">
        <v>485</v>
      </c>
      <c r="K15" s="60">
        <f t="shared" si="2"/>
        <v>47.455968688845402</v>
      </c>
    </row>
    <row r="16" spans="2:14" x14ac:dyDescent="0.25">
      <c r="B16" s="202" t="s">
        <v>31</v>
      </c>
      <c r="C16" s="56">
        <v>2242</v>
      </c>
      <c r="D16" s="9">
        <v>1277</v>
      </c>
      <c r="E16" s="312">
        <f t="shared" si="0"/>
        <v>56.95807314897413</v>
      </c>
      <c r="F16" s="56">
        <v>2266</v>
      </c>
      <c r="G16" s="9">
        <v>1273</v>
      </c>
      <c r="H16" s="312">
        <f t="shared" si="1"/>
        <v>56.178287731685792</v>
      </c>
      <c r="I16" s="56">
        <v>2077</v>
      </c>
      <c r="J16" s="9">
        <v>1154</v>
      </c>
      <c r="K16" s="60">
        <f>J16*100/I16</f>
        <v>55.560905151661046</v>
      </c>
    </row>
    <row r="17" spans="2:11" x14ac:dyDescent="0.25">
      <c r="B17" s="202" t="s">
        <v>32</v>
      </c>
      <c r="C17" s="56">
        <v>1077</v>
      </c>
      <c r="D17" s="9">
        <v>532</v>
      </c>
      <c r="E17" s="312">
        <f t="shared" si="0"/>
        <v>49.396471680594246</v>
      </c>
      <c r="F17" s="56">
        <v>1144</v>
      </c>
      <c r="G17" s="9">
        <v>559</v>
      </c>
      <c r="H17" s="312">
        <f t="shared" si="1"/>
        <v>48.863636363636367</v>
      </c>
      <c r="I17" s="56">
        <v>982</v>
      </c>
      <c r="J17" s="9">
        <v>485</v>
      </c>
      <c r="K17" s="60">
        <f t="shared" si="2"/>
        <v>49.389002036659875</v>
      </c>
    </row>
    <row r="18" spans="2:11" x14ac:dyDescent="0.25">
      <c r="B18" s="202" t="s">
        <v>33</v>
      </c>
      <c r="C18" s="56">
        <v>2023</v>
      </c>
      <c r="D18" s="9">
        <v>1078</v>
      </c>
      <c r="E18" s="312">
        <f t="shared" si="0"/>
        <v>53.287197231833908</v>
      </c>
      <c r="F18" s="56">
        <v>1936</v>
      </c>
      <c r="G18" s="9">
        <v>1026</v>
      </c>
      <c r="H18" s="312">
        <f t="shared" si="1"/>
        <v>52.995867768595041</v>
      </c>
      <c r="I18" s="56">
        <v>1601</v>
      </c>
      <c r="J18" s="9">
        <v>851</v>
      </c>
      <c r="K18" s="60">
        <f t="shared" si="2"/>
        <v>53.154278575890068</v>
      </c>
    </row>
    <row r="19" spans="2:11" x14ac:dyDescent="0.25">
      <c r="B19" s="202" t="s">
        <v>34</v>
      </c>
      <c r="C19" s="56">
        <v>1516</v>
      </c>
      <c r="D19" s="9">
        <v>837</v>
      </c>
      <c r="E19" s="312">
        <f t="shared" si="0"/>
        <v>55.211081794195252</v>
      </c>
      <c r="F19" s="56">
        <v>1435</v>
      </c>
      <c r="G19" s="9">
        <v>791</v>
      </c>
      <c r="H19" s="312">
        <f t="shared" si="1"/>
        <v>55.121951219512198</v>
      </c>
      <c r="I19" s="56">
        <v>1287</v>
      </c>
      <c r="J19" s="9">
        <v>706</v>
      </c>
      <c r="K19" s="60">
        <f t="shared" si="2"/>
        <v>54.856254856254857</v>
      </c>
    </row>
    <row r="20" spans="2:11" x14ac:dyDescent="0.25">
      <c r="B20" s="202" t="s">
        <v>35</v>
      </c>
      <c r="C20" s="56">
        <v>2174</v>
      </c>
      <c r="D20" s="9">
        <v>1216</v>
      </c>
      <c r="E20" s="312">
        <f t="shared" si="0"/>
        <v>55.933762649494021</v>
      </c>
      <c r="F20" s="56">
        <v>2038</v>
      </c>
      <c r="G20" s="9">
        <v>1147</v>
      </c>
      <c r="H20" s="312">
        <f t="shared" si="1"/>
        <v>56.280667320902843</v>
      </c>
      <c r="I20" s="56">
        <v>1906</v>
      </c>
      <c r="J20" s="9">
        <v>1054</v>
      </c>
      <c r="K20" s="60">
        <f t="shared" si="2"/>
        <v>55.299055613850996</v>
      </c>
    </row>
    <row r="21" spans="2:11" x14ac:dyDescent="0.25">
      <c r="B21" s="203" t="s">
        <v>36</v>
      </c>
      <c r="C21" s="117">
        <v>2218</v>
      </c>
      <c r="D21" s="118">
        <v>1261</v>
      </c>
      <c r="E21" s="312">
        <f t="shared" si="0"/>
        <v>56.853020739404869</v>
      </c>
      <c r="F21" s="117">
        <v>2289</v>
      </c>
      <c r="G21" s="118">
        <v>1291</v>
      </c>
      <c r="H21" s="312">
        <f t="shared" si="1"/>
        <v>56.400174748798605</v>
      </c>
      <c r="I21" s="117">
        <v>1962</v>
      </c>
      <c r="J21" s="118">
        <v>1124</v>
      </c>
      <c r="K21" s="60">
        <f t="shared" si="2"/>
        <v>57.288481141692152</v>
      </c>
    </row>
    <row r="22" spans="2:11" x14ac:dyDescent="0.25">
      <c r="B22" s="203" t="s">
        <v>37</v>
      </c>
      <c r="C22" s="117">
        <v>2444</v>
      </c>
      <c r="D22" s="118">
        <v>1508</v>
      </c>
      <c r="E22" s="312">
        <f t="shared" si="0"/>
        <v>61.702127659574465</v>
      </c>
      <c r="F22" s="117">
        <v>2431</v>
      </c>
      <c r="G22" s="118">
        <v>1486</v>
      </c>
      <c r="H22" s="312">
        <f t="shared" si="1"/>
        <v>61.127108185931718</v>
      </c>
      <c r="I22" s="117">
        <v>2227</v>
      </c>
      <c r="J22" s="118">
        <v>1370</v>
      </c>
      <c r="K22" s="60">
        <f t="shared" si="2"/>
        <v>61.517736865738662</v>
      </c>
    </row>
    <row r="23" spans="2:11" x14ac:dyDescent="0.25">
      <c r="B23" s="203" t="s">
        <v>38</v>
      </c>
      <c r="C23" s="117">
        <v>1975</v>
      </c>
      <c r="D23" s="118">
        <v>1141</v>
      </c>
      <c r="E23" s="312">
        <f t="shared" si="0"/>
        <v>57.77215189873418</v>
      </c>
      <c r="F23" s="117">
        <v>1903</v>
      </c>
      <c r="G23" s="118">
        <v>1118</v>
      </c>
      <c r="H23" s="312">
        <f t="shared" si="1"/>
        <v>58.74934314240673</v>
      </c>
      <c r="I23" s="117">
        <v>1792</v>
      </c>
      <c r="J23" s="118">
        <v>1065</v>
      </c>
      <c r="K23" s="60">
        <f t="shared" si="2"/>
        <v>59.430803571428569</v>
      </c>
    </row>
    <row r="24" spans="2:11" x14ac:dyDescent="0.25">
      <c r="B24" s="203" t="s">
        <v>39</v>
      </c>
      <c r="C24" s="117">
        <v>3919</v>
      </c>
      <c r="D24" s="118">
        <v>2068</v>
      </c>
      <c r="E24" s="312">
        <f t="shared" si="0"/>
        <v>52.768563409032915</v>
      </c>
      <c r="F24" s="117">
        <v>3595</v>
      </c>
      <c r="G24" s="118">
        <v>1904</v>
      </c>
      <c r="H24" s="312">
        <f t="shared" si="1"/>
        <v>52.962447844228095</v>
      </c>
      <c r="I24" s="117">
        <v>3170</v>
      </c>
      <c r="J24" s="118">
        <v>1680</v>
      </c>
      <c r="K24" s="60">
        <f t="shared" si="2"/>
        <v>52.996845425867505</v>
      </c>
    </row>
    <row r="25" spans="2:11" x14ac:dyDescent="0.25">
      <c r="B25" s="203" t="s">
        <v>40</v>
      </c>
      <c r="C25" s="117">
        <v>1493</v>
      </c>
      <c r="D25" s="118">
        <v>822</v>
      </c>
      <c r="E25" s="312">
        <f t="shared" si="0"/>
        <v>55.056932350971202</v>
      </c>
      <c r="F25" s="117">
        <v>1341</v>
      </c>
      <c r="G25" s="118">
        <v>729</v>
      </c>
      <c r="H25" s="312">
        <f t="shared" si="1"/>
        <v>54.36241610738255</v>
      </c>
      <c r="I25" s="117">
        <v>1269</v>
      </c>
      <c r="J25" s="118">
        <v>670</v>
      </c>
      <c r="K25" s="60">
        <f t="shared" si="2"/>
        <v>52.797478329393222</v>
      </c>
    </row>
    <row r="26" spans="2:11" x14ac:dyDescent="0.25">
      <c r="B26" s="203" t="s">
        <v>41</v>
      </c>
      <c r="C26" s="117">
        <v>1119</v>
      </c>
      <c r="D26" s="118">
        <v>671</v>
      </c>
      <c r="E26" s="312">
        <f t="shared" si="0"/>
        <v>59.964253798033958</v>
      </c>
      <c r="F26" s="117">
        <v>1023</v>
      </c>
      <c r="G26" s="118">
        <v>597</v>
      </c>
      <c r="H26" s="312">
        <f t="shared" si="1"/>
        <v>58.357771260997069</v>
      </c>
      <c r="I26" s="117">
        <v>898</v>
      </c>
      <c r="J26" s="118">
        <v>526</v>
      </c>
      <c r="K26" s="60">
        <f t="shared" si="2"/>
        <v>58.574610244988861</v>
      </c>
    </row>
    <row r="27" spans="2:11" x14ac:dyDescent="0.25">
      <c r="B27" s="203" t="s">
        <v>42</v>
      </c>
      <c r="C27" s="117">
        <v>2367</v>
      </c>
      <c r="D27" s="118">
        <v>1408</v>
      </c>
      <c r="E27" s="312">
        <f t="shared" si="0"/>
        <v>59.484579636670894</v>
      </c>
      <c r="F27" s="117">
        <v>2345</v>
      </c>
      <c r="G27" s="118">
        <v>1351</v>
      </c>
      <c r="H27" s="312">
        <f t="shared" si="1"/>
        <v>57.611940298507463</v>
      </c>
      <c r="I27" s="117">
        <v>2188</v>
      </c>
      <c r="J27" s="118">
        <v>1280</v>
      </c>
      <c r="K27" s="60">
        <f t="shared" si="2"/>
        <v>58.50091407678245</v>
      </c>
    </row>
    <row r="28" spans="2:11" x14ac:dyDescent="0.25">
      <c r="B28" s="203" t="s">
        <v>43</v>
      </c>
      <c r="C28" s="117">
        <v>880</v>
      </c>
      <c r="D28" s="118">
        <v>486</v>
      </c>
      <c r="E28" s="312">
        <f t="shared" si="0"/>
        <v>55.227272727272727</v>
      </c>
      <c r="F28" s="117">
        <v>889</v>
      </c>
      <c r="G28" s="118">
        <v>478</v>
      </c>
      <c r="H28" s="312">
        <f t="shared" si="1"/>
        <v>53.768278965129362</v>
      </c>
      <c r="I28" s="117">
        <v>780</v>
      </c>
      <c r="J28" s="118">
        <v>439</v>
      </c>
      <c r="K28" s="60">
        <f t="shared" si="2"/>
        <v>56.282051282051285</v>
      </c>
    </row>
    <row r="29" spans="2:11" x14ac:dyDescent="0.25">
      <c r="B29" s="203" t="s">
        <v>44</v>
      </c>
      <c r="C29" s="117">
        <v>385</v>
      </c>
      <c r="D29" s="118">
        <v>196</v>
      </c>
      <c r="E29" s="312">
        <f t="shared" si="0"/>
        <v>50.909090909090907</v>
      </c>
      <c r="F29" s="117">
        <v>334</v>
      </c>
      <c r="G29" s="118">
        <v>181</v>
      </c>
      <c r="H29" s="312">
        <f t="shared" si="1"/>
        <v>54.191616766467064</v>
      </c>
      <c r="I29" s="117">
        <v>348</v>
      </c>
      <c r="J29" s="118">
        <v>205</v>
      </c>
      <c r="K29" s="60">
        <f t="shared" si="2"/>
        <v>58.908045977011497</v>
      </c>
    </row>
    <row r="30" spans="2:11" x14ac:dyDescent="0.25">
      <c r="B30" s="203" t="s">
        <v>45</v>
      </c>
      <c r="C30" s="117">
        <v>2005</v>
      </c>
      <c r="D30" s="118">
        <v>1077</v>
      </c>
      <c r="E30" s="312">
        <f t="shared" si="0"/>
        <v>53.715710723192018</v>
      </c>
      <c r="F30" s="117">
        <v>1983</v>
      </c>
      <c r="G30" s="118">
        <v>1063</v>
      </c>
      <c r="H30" s="312">
        <f t="shared" si="1"/>
        <v>53.605648008068584</v>
      </c>
      <c r="I30" s="117">
        <v>1733</v>
      </c>
      <c r="J30" s="118">
        <v>899</v>
      </c>
      <c r="K30" s="60">
        <f t="shared" si="2"/>
        <v>51.875360646278132</v>
      </c>
    </row>
    <row r="31" spans="2:11" x14ac:dyDescent="0.25">
      <c r="B31" s="203" t="s">
        <v>46</v>
      </c>
      <c r="C31" s="117">
        <v>4499</v>
      </c>
      <c r="D31" s="118">
        <v>2340</v>
      </c>
      <c r="E31" s="312">
        <f t="shared" si="0"/>
        <v>52.011558124027559</v>
      </c>
      <c r="F31" s="117">
        <v>4194</v>
      </c>
      <c r="G31" s="118">
        <v>2185</v>
      </c>
      <c r="H31" s="312">
        <f t="shared" si="1"/>
        <v>52.098235574630422</v>
      </c>
      <c r="I31" s="117">
        <v>3780</v>
      </c>
      <c r="J31" s="118">
        <v>1969</v>
      </c>
      <c r="K31" s="60">
        <f t="shared" si="2"/>
        <v>52.089947089947088</v>
      </c>
    </row>
    <row r="32" spans="2:11" ht="15.75" thickBot="1" x14ac:dyDescent="0.3">
      <c r="B32" s="204" t="s">
        <v>47</v>
      </c>
      <c r="C32" s="119">
        <v>786</v>
      </c>
      <c r="D32" s="121">
        <v>439</v>
      </c>
      <c r="E32" s="313">
        <f>D32*100/C32</f>
        <v>55.852417302798983</v>
      </c>
      <c r="F32" s="119">
        <v>772</v>
      </c>
      <c r="G32" s="121">
        <v>423</v>
      </c>
      <c r="H32" s="313">
        <f>G32*100/F32</f>
        <v>54.792746113989637</v>
      </c>
      <c r="I32" s="119">
        <v>684</v>
      </c>
      <c r="J32" s="121">
        <v>377</v>
      </c>
      <c r="K32" s="101">
        <f t="shared" si="2"/>
        <v>55.116959064327489</v>
      </c>
    </row>
    <row r="33" spans="2:13" x14ac:dyDescent="0.25">
      <c r="B33" s="392" t="s">
        <v>252</v>
      </c>
      <c r="C33" s="523"/>
      <c r="D33" s="523"/>
      <c r="E33" s="523"/>
      <c r="F33" s="11"/>
      <c r="G33" s="11"/>
      <c r="H33" s="11"/>
      <c r="I33" s="11"/>
      <c r="J33" s="11"/>
      <c r="K33" s="11"/>
      <c r="L33" s="11"/>
      <c r="M33" s="11"/>
    </row>
    <row r="34" spans="2:13" x14ac:dyDescent="0.25">
      <c r="B34" s="11" t="s">
        <v>254</v>
      </c>
      <c r="C34" s="11"/>
      <c r="D34" s="11"/>
      <c r="E34" s="11"/>
      <c r="F34" s="392"/>
      <c r="G34" s="392"/>
      <c r="H34" s="392"/>
      <c r="I34" s="273"/>
      <c r="J34" s="273"/>
      <c r="K34" s="273"/>
      <c r="L34" s="273"/>
      <c r="M34" s="273"/>
    </row>
    <row r="35" spans="2:13" x14ac:dyDescent="0.25">
      <c r="B35" s="11" t="s">
        <v>255</v>
      </c>
      <c r="C35" s="11"/>
      <c r="D35" s="11"/>
      <c r="E35" s="11"/>
      <c r="F35" s="11"/>
      <c r="G35" s="11"/>
      <c r="H35" s="11"/>
    </row>
    <row r="37" spans="2:13" x14ac:dyDescent="0.25">
      <c r="B37" s="11" t="s">
        <v>431</v>
      </c>
    </row>
    <row r="38" spans="2:13" ht="15.75" thickBot="1" x14ac:dyDescent="0.3">
      <c r="B38" s="11" t="s">
        <v>284</v>
      </c>
    </row>
    <row r="39" spans="2:13" x14ac:dyDescent="0.25">
      <c r="B39" s="927" t="s">
        <v>117</v>
      </c>
      <c r="C39" s="897" t="s">
        <v>504</v>
      </c>
      <c r="D39" s="945" t="s">
        <v>505</v>
      </c>
      <c r="E39" s="998" t="s">
        <v>506</v>
      </c>
      <c r="F39" s="1001" t="s">
        <v>507</v>
      </c>
    </row>
    <row r="40" spans="2:13" x14ac:dyDescent="0.25">
      <c r="B40" s="984"/>
      <c r="C40" s="994"/>
      <c r="D40" s="995"/>
      <c r="E40" s="999"/>
      <c r="F40" s="1002"/>
    </row>
    <row r="41" spans="2:13" x14ac:dyDescent="0.25">
      <c r="B41" s="984"/>
      <c r="C41" s="994"/>
      <c r="D41" s="995"/>
      <c r="E41" s="999"/>
      <c r="F41" s="1002"/>
    </row>
    <row r="42" spans="2:13" ht="15.75" thickBot="1" x14ac:dyDescent="0.3">
      <c r="B42" s="940"/>
      <c r="C42" s="886"/>
      <c r="D42" s="913"/>
      <c r="E42" s="1000"/>
      <c r="F42" s="1003"/>
    </row>
    <row r="43" spans="2:13" ht="19.5" thickBot="1" x14ac:dyDescent="0.3">
      <c r="B43" s="307" t="s">
        <v>22</v>
      </c>
      <c r="C43" s="308">
        <f>I7-F7</f>
        <v>-4665</v>
      </c>
      <c r="D43" s="310">
        <f>C43*100/F7</f>
        <v>-9.9756222735437508</v>
      </c>
      <c r="E43" s="308">
        <f>I7-C7</f>
        <v>-6334</v>
      </c>
      <c r="F43" s="310">
        <f t="shared" ref="F43:F68" si="3">E43*100/C7</f>
        <v>-13.077860136683666</v>
      </c>
    </row>
    <row r="44" spans="2:13" ht="15.75" thickTop="1" x14ac:dyDescent="0.25">
      <c r="B44" s="201" t="s">
        <v>23</v>
      </c>
      <c r="C44" s="205">
        <f t="shared" ref="C44:C68" si="4">I8-F8</f>
        <v>-109</v>
      </c>
      <c r="D44" s="60">
        <f t="shared" ref="D44:D68" si="5">C44*100/F8</f>
        <v>-14.342105263157896</v>
      </c>
      <c r="E44" s="205">
        <f t="shared" ref="E44:E68" si="6">I8-C8</f>
        <v>-120</v>
      </c>
      <c r="F44" s="60">
        <f t="shared" si="3"/>
        <v>-15.56420233463035</v>
      </c>
    </row>
    <row r="45" spans="2:13" x14ac:dyDescent="0.25">
      <c r="B45" s="202" t="s">
        <v>24</v>
      </c>
      <c r="C45" s="56">
        <f t="shared" si="4"/>
        <v>-164</v>
      </c>
      <c r="D45" s="7">
        <f t="shared" si="5"/>
        <v>-5.8971592952175476</v>
      </c>
      <c r="E45" s="56">
        <f t="shared" si="6"/>
        <v>-86</v>
      </c>
      <c r="F45" s="7">
        <f t="shared" si="3"/>
        <v>-3.1816500184979652</v>
      </c>
    </row>
    <row r="46" spans="2:13" x14ac:dyDescent="0.25">
      <c r="B46" s="202" t="s">
        <v>25</v>
      </c>
      <c r="C46" s="56">
        <f t="shared" si="4"/>
        <v>-121</v>
      </c>
      <c r="D46" s="7">
        <f t="shared" si="5"/>
        <v>-9.1320754716981138</v>
      </c>
      <c r="E46" s="56">
        <f t="shared" si="6"/>
        <v>-311</v>
      </c>
      <c r="F46" s="7">
        <f t="shared" si="3"/>
        <v>-20.528052805280527</v>
      </c>
    </row>
    <row r="47" spans="2:13" x14ac:dyDescent="0.25">
      <c r="B47" s="202" t="s">
        <v>26</v>
      </c>
      <c r="C47" s="56">
        <f t="shared" si="4"/>
        <v>-402</v>
      </c>
      <c r="D47" s="7">
        <f t="shared" si="5"/>
        <v>-12.039532794249775</v>
      </c>
      <c r="E47" s="56">
        <f t="shared" si="6"/>
        <v>-661</v>
      </c>
      <c r="F47" s="7">
        <f t="shared" si="3"/>
        <v>-18.371317398554751</v>
      </c>
    </row>
    <row r="48" spans="2:13" x14ac:dyDescent="0.25">
      <c r="B48" s="202" t="s">
        <v>27</v>
      </c>
      <c r="C48" s="56">
        <f t="shared" si="4"/>
        <v>-466</v>
      </c>
      <c r="D48" s="7">
        <f t="shared" si="5"/>
        <v>-12.784636488340192</v>
      </c>
      <c r="E48" s="56">
        <f t="shared" si="6"/>
        <v>-508</v>
      </c>
      <c r="F48" s="7">
        <f t="shared" si="3"/>
        <v>-13.778139408733388</v>
      </c>
    </row>
    <row r="49" spans="2:6" x14ac:dyDescent="0.25">
      <c r="B49" s="202" t="s">
        <v>28</v>
      </c>
      <c r="C49" s="56">
        <f t="shared" si="4"/>
        <v>-54</v>
      </c>
      <c r="D49" s="7">
        <f t="shared" si="5"/>
        <v>-5.9668508287292816</v>
      </c>
      <c r="E49" s="56">
        <f t="shared" si="6"/>
        <v>-114</v>
      </c>
      <c r="F49" s="7">
        <f t="shared" si="3"/>
        <v>-11.813471502590673</v>
      </c>
    </row>
    <row r="50" spans="2:6" x14ac:dyDescent="0.25">
      <c r="B50" s="202" t="s">
        <v>29</v>
      </c>
      <c r="C50" s="56">
        <f t="shared" si="4"/>
        <v>-55</v>
      </c>
      <c r="D50" s="7">
        <f t="shared" si="5"/>
        <v>-5.4509415262636276</v>
      </c>
      <c r="E50" s="56">
        <f t="shared" si="6"/>
        <v>-72</v>
      </c>
      <c r="F50" s="7">
        <f t="shared" si="3"/>
        <v>-7.0175438596491224</v>
      </c>
    </row>
    <row r="51" spans="2:6" x14ac:dyDescent="0.25">
      <c r="B51" s="202" t="s">
        <v>30</v>
      </c>
      <c r="C51" s="56">
        <f t="shared" si="4"/>
        <v>-60</v>
      </c>
      <c r="D51" s="7">
        <f t="shared" si="5"/>
        <v>-5.5452865064695009</v>
      </c>
      <c r="E51" s="56">
        <f t="shared" si="6"/>
        <v>-24</v>
      </c>
      <c r="F51" s="7">
        <f t="shared" si="3"/>
        <v>-2.2944550669216062</v>
      </c>
    </row>
    <row r="52" spans="2:6" x14ac:dyDescent="0.25">
      <c r="B52" s="202" t="s">
        <v>31</v>
      </c>
      <c r="C52" s="56">
        <f t="shared" si="4"/>
        <v>-189</v>
      </c>
      <c r="D52" s="7">
        <f t="shared" si="5"/>
        <v>-8.3406884377758157</v>
      </c>
      <c r="E52" s="56">
        <f t="shared" si="6"/>
        <v>-165</v>
      </c>
      <c r="F52" s="7">
        <f t="shared" si="3"/>
        <v>-7.3595004460303297</v>
      </c>
    </row>
    <row r="53" spans="2:6" x14ac:dyDescent="0.25">
      <c r="B53" s="202" t="s">
        <v>32</v>
      </c>
      <c r="C53" s="56">
        <f t="shared" si="4"/>
        <v>-162</v>
      </c>
      <c r="D53" s="7">
        <f t="shared" si="5"/>
        <v>-14.160839160839162</v>
      </c>
      <c r="E53" s="56">
        <f t="shared" si="6"/>
        <v>-95</v>
      </c>
      <c r="F53" s="7">
        <f t="shared" si="3"/>
        <v>-8.8207985143918286</v>
      </c>
    </row>
    <row r="54" spans="2:6" x14ac:dyDescent="0.25">
      <c r="B54" s="202" t="s">
        <v>33</v>
      </c>
      <c r="C54" s="56">
        <f t="shared" si="4"/>
        <v>-335</v>
      </c>
      <c r="D54" s="7">
        <f t="shared" si="5"/>
        <v>-17.303719008264462</v>
      </c>
      <c r="E54" s="56">
        <f t="shared" si="6"/>
        <v>-422</v>
      </c>
      <c r="F54" s="7">
        <f t="shared" si="3"/>
        <v>-20.860108749382107</v>
      </c>
    </row>
    <row r="55" spans="2:6" x14ac:dyDescent="0.25">
      <c r="B55" s="202" t="s">
        <v>34</v>
      </c>
      <c r="C55" s="56">
        <f t="shared" si="4"/>
        <v>-148</v>
      </c>
      <c r="D55" s="7">
        <f t="shared" si="5"/>
        <v>-10.313588850174217</v>
      </c>
      <c r="E55" s="56">
        <f t="shared" si="6"/>
        <v>-229</v>
      </c>
      <c r="F55" s="7">
        <f t="shared" si="3"/>
        <v>-15.105540897097626</v>
      </c>
    </row>
    <row r="56" spans="2:6" x14ac:dyDescent="0.25">
      <c r="B56" s="202" t="s">
        <v>35</v>
      </c>
      <c r="C56" s="56">
        <f t="shared" si="4"/>
        <v>-132</v>
      </c>
      <c r="D56" s="7">
        <f t="shared" si="5"/>
        <v>-6.4769381746810595</v>
      </c>
      <c r="E56" s="56">
        <f t="shared" si="6"/>
        <v>-268</v>
      </c>
      <c r="F56" s="7">
        <f t="shared" si="3"/>
        <v>-12.32750689972401</v>
      </c>
    </row>
    <row r="57" spans="2:6" x14ac:dyDescent="0.25">
      <c r="B57" s="203" t="s">
        <v>36</v>
      </c>
      <c r="C57" s="56">
        <f t="shared" si="4"/>
        <v>-327</v>
      </c>
      <c r="D57" s="7">
        <f t="shared" si="5"/>
        <v>-14.285714285714286</v>
      </c>
      <c r="E57" s="56">
        <f t="shared" si="6"/>
        <v>-256</v>
      </c>
      <c r="F57" s="7">
        <f t="shared" si="3"/>
        <v>-11.541929666366096</v>
      </c>
    </row>
    <row r="58" spans="2:6" x14ac:dyDescent="0.25">
      <c r="B58" s="203" t="s">
        <v>37</v>
      </c>
      <c r="C58" s="56">
        <f t="shared" si="4"/>
        <v>-204</v>
      </c>
      <c r="D58" s="7">
        <f t="shared" si="5"/>
        <v>-8.3916083916083917</v>
      </c>
      <c r="E58" s="56">
        <f t="shared" si="6"/>
        <v>-217</v>
      </c>
      <c r="F58" s="7">
        <f t="shared" si="3"/>
        <v>-8.8788870703764324</v>
      </c>
    </row>
    <row r="59" spans="2:6" x14ac:dyDescent="0.25">
      <c r="B59" s="203" t="s">
        <v>38</v>
      </c>
      <c r="C59" s="56">
        <f t="shared" si="4"/>
        <v>-111</v>
      </c>
      <c r="D59" s="7">
        <f t="shared" si="5"/>
        <v>-5.8328954282711507</v>
      </c>
      <c r="E59" s="56">
        <f t="shared" si="6"/>
        <v>-183</v>
      </c>
      <c r="F59" s="7">
        <f t="shared" si="3"/>
        <v>-9.2658227848101262</v>
      </c>
    </row>
    <row r="60" spans="2:6" x14ac:dyDescent="0.25">
      <c r="B60" s="203" t="s">
        <v>39</v>
      </c>
      <c r="C60" s="56">
        <f t="shared" si="4"/>
        <v>-425</v>
      </c>
      <c r="D60" s="7">
        <f t="shared" si="5"/>
        <v>-11.821974965229485</v>
      </c>
      <c r="E60" s="56">
        <f t="shared" si="6"/>
        <v>-749</v>
      </c>
      <c r="F60" s="7">
        <f t="shared" si="3"/>
        <v>-19.112018372033681</v>
      </c>
    </row>
    <row r="61" spans="2:6" x14ac:dyDescent="0.25">
      <c r="B61" s="203" t="s">
        <v>40</v>
      </c>
      <c r="C61" s="56">
        <f t="shared" si="4"/>
        <v>-72</v>
      </c>
      <c r="D61" s="7">
        <f t="shared" si="5"/>
        <v>-5.3691275167785237</v>
      </c>
      <c r="E61" s="56">
        <f t="shared" si="6"/>
        <v>-224</v>
      </c>
      <c r="F61" s="7">
        <f t="shared" si="3"/>
        <v>-15.003348961821835</v>
      </c>
    </row>
    <row r="62" spans="2:6" x14ac:dyDescent="0.25">
      <c r="B62" s="203" t="s">
        <v>41</v>
      </c>
      <c r="C62" s="56">
        <f t="shared" si="4"/>
        <v>-125</v>
      </c>
      <c r="D62" s="7">
        <f t="shared" si="5"/>
        <v>-12.218963831867057</v>
      </c>
      <c r="E62" s="56">
        <f t="shared" si="6"/>
        <v>-221</v>
      </c>
      <c r="F62" s="7">
        <f t="shared" si="3"/>
        <v>-19.749776586237711</v>
      </c>
    </row>
    <row r="63" spans="2:6" x14ac:dyDescent="0.25">
      <c r="B63" s="203" t="s">
        <v>42</v>
      </c>
      <c r="C63" s="56">
        <f t="shared" si="4"/>
        <v>-157</v>
      </c>
      <c r="D63" s="7">
        <f t="shared" si="5"/>
        <v>-6.6950959488272925</v>
      </c>
      <c r="E63" s="56">
        <f t="shared" si="6"/>
        <v>-179</v>
      </c>
      <c r="F63" s="7">
        <f t="shared" si="3"/>
        <v>-7.5623151668779043</v>
      </c>
    </row>
    <row r="64" spans="2:6" x14ac:dyDescent="0.25">
      <c r="B64" s="203" t="s">
        <v>43</v>
      </c>
      <c r="C64" s="56">
        <f t="shared" si="4"/>
        <v>-109</v>
      </c>
      <c r="D64" s="7">
        <f t="shared" si="5"/>
        <v>-12.260967379077615</v>
      </c>
      <c r="E64" s="56">
        <f t="shared" si="6"/>
        <v>-100</v>
      </c>
      <c r="F64" s="7">
        <f t="shared" si="3"/>
        <v>-11.363636363636363</v>
      </c>
    </row>
    <row r="65" spans="2:6" x14ac:dyDescent="0.25">
      <c r="B65" s="203" t="s">
        <v>44</v>
      </c>
      <c r="C65" s="56">
        <f t="shared" si="4"/>
        <v>14</v>
      </c>
      <c r="D65" s="7">
        <f t="shared" si="5"/>
        <v>4.1916167664670656</v>
      </c>
      <c r="E65" s="56">
        <f t="shared" si="6"/>
        <v>-37</v>
      </c>
      <c r="F65" s="7">
        <f t="shared" si="3"/>
        <v>-9.6103896103896105</v>
      </c>
    </row>
    <row r="66" spans="2:6" x14ac:dyDescent="0.25">
      <c r="B66" s="203" t="s">
        <v>45</v>
      </c>
      <c r="C66" s="56">
        <f t="shared" si="4"/>
        <v>-250</v>
      </c>
      <c r="D66" s="7">
        <f t="shared" si="5"/>
        <v>-12.607160867372668</v>
      </c>
      <c r="E66" s="56">
        <f t="shared" si="6"/>
        <v>-272</v>
      </c>
      <c r="F66" s="7">
        <f t="shared" si="3"/>
        <v>-13.566084788029926</v>
      </c>
    </row>
    <row r="67" spans="2:6" x14ac:dyDescent="0.25">
      <c r="B67" s="203" t="s">
        <v>46</v>
      </c>
      <c r="C67" s="56">
        <f t="shared" si="4"/>
        <v>-414</v>
      </c>
      <c r="D67" s="7">
        <f t="shared" si="5"/>
        <v>-9.8712446351931327</v>
      </c>
      <c r="E67" s="56">
        <f t="shared" si="6"/>
        <v>-719</v>
      </c>
      <c r="F67" s="7">
        <f t="shared" si="3"/>
        <v>-15.981329184263169</v>
      </c>
    </row>
    <row r="68" spans="2:6" ht="15.75" thickBot="1" x14ac:dyDescent="0.3">
      <c r="B68" s="204" t="s">
        <v>47</v>
      </c>
      <c r="C68" s="3">
        <f t="shared" si="4"/>
        <v>-88</v>
      </c>
      <c r="D68" s="8">
        <f t="shared" si="5"/>
        <v>-11.398963730569948</v>
      </c>
      <c r="E68" s="3">
        <f t="shared" si="6"/>
        <v>-102</v>
      </c>
      <c r="F68" s="8">
        <f t="shared" si="3"/>
        <v>-12.977099236641221</v>
      </c>
    </row>
  </sheetData>
  <mergeCells count="18">
    <mergeCell ref="B39:B42"/>
    <mergeCell ref="E39:E42"/>
    <mergeCell ref="F39:F42"/>
    <mergeCell ref="B3:B6"/>
    <mergeCell ref="I3:K3"/>
    <mergeCell ref="F3:H3"/>
    <mergeCell ref="C39:C42"/>
    <mergeCell ref="D39:D42"/>
    <mergeCell ref="I4:K4"/>
    <mergeCell ref="F4:H4"/>
    <mergeCell ref="I5:I6"/>
    <mergeCell ref="J5:K5"/>
    <mergeCell ref="F5:F6"/>
    <mergeCell ref="G5:H5"/>
    <mergeCell ref="C3:E3"/>
    <mergeCell ref="C4:E4"/>
    <mergeCell ref="C5:C6"/>
    <mergeCell ref="D5:E5"/>
  </mergeCells>
  <printOptions horizontalCentered="1" verticalCentered="1"/>
  <pageMargins left="0.31496062992125984" right="0.31496062992125984" top="0" bottom="0" header="0" footer="0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1:K44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1.85546875" style="11" customWidth="1"/>
    <col min="2" max="2" width="7.28515625" style="11" customWidth="1"/>
    <col min="3" max="3" width="74.7109375" style="11" customWidth="1"/>
    <col min="4" max="4" width="12.5703125" style="11" customWidth="1"/>
    <col min="5" max="5" width="12.42578125" style="11" customWidth="1"/>
    <col min="6" max="6" width="14.140625" style="11" customWidth="1"/>
    <col min="7" max="7" width="6.5703125" style="11" customWidth="1"/>
    <col min="8" max="8" width="6.7109375" style="11" customWidth="1"/>
    <col min="9" max="9" width="5.42578125" style="11" customWidth="1"/>
    <col min="10" max="10" width="84.85546875" style="11" customWidth="1"/>
    <col min="11" max="11" width="10.28515625" style="11" customWidth="1"/>
    <col min="12" max="16384" width="9.140625" style="11"/>
  </cols>
  <sheetData>
    <row r="1" spans="2:11" ht="12" customHeight="1" x14ac:dyDescent="0.25"/>
    <row r="2" spans="2:11" ht="16.5" customHeight="1" x14ac:dyDescent="0.25">
      <c r="C2" s="1007" t="s">
        <v>446</v>
      </c>
      <c r="D2" s="1007"/>
      <c r="E2" s="1007"/>
    </row>
    <row r="3" spans="2:11" ht="16.5" customHeight="1" x14ac:dyDescent="0.25">
      <c r="C3" s="1005" t="s">
        <v>445</v>
      </c>
      <c r="D3" s="1005"/>
      <c r="E3" s="1005"/>
    </row>
    <row r="4" spans="2:11" ht="14.25" customHeight="1" x14ac:dyDescent="0.25">
      <c r="C4" s="1006" t="s">
        <v>470</v>
      </c>
      <c r="D4" s="1006"/>
      <c r="E4" s="1006"/>
    </row>
    <row r="5" spans="2:11" ht="12" customHeight="1" thickBot="1" x14ac:dyDescent="0.3"/>
    <row r="6" spans="2:11" ht="45" customHeight="1" x14ac:dyDescent="0.25">
      <c r="B6" s="838"/>
      <c r="C6" s="836" t="s">
        <v>117</v>
      </c>
      <c r="D6" s="320" t="s">
        <v>447</v>
      </c>
      <c r="E6" s="836" t="s">
        <v>447</v>
      </c>
      <c r="F6" s="1008" t="s">
        <v>585</v>
      </c>
      <c r="I6" s="1004"/>
      <c r="J6" s="1004"/>
      <c r="K6" s="1004"/>
    </row>
    <row r="7" spans="2:11" ht="30" customHeight="1" thickBot="1" x14ac:dyDescent="0.3">
      <c r="B7" s="839" t="s">
        <v>449</v>
      </c>
      <c r="C7" s="843"/>
      <c r="D7" s="837" t="s">
        <v>582</v>
      </c>
      <c r="E7" s="835" t="s">
        <v>508</v>
      </c>
      <c r="F7" s="1009"/>
      <c r="I7" s="1004"/>
      <c r="J7" s="1004"/>
      <c r="K7" s="1004"/>
    </row>
    <row r="8" spans="2:11" ht="30" customHeight="1" thickBot="1" x14ac:dyDescent="0.3">
      <c r="B8" s="840" t="s">
        <v>102</v>
      </c>
      <c r="C8" s="844" t="s">
        <v>58</v>
      </c>
      <c r="D8" s="848">
        <f>SUM(D10,D11,D12,D13,D14,D15,D16,D17,D18,D19,D20,D21,D22,D23,D24,D25,D26,D27,D28,D29,D30)</f>
        <v>25104</v>
      </c>
      <c r="E8" s="849">
        <f>SUM(E10,E11,E12,E13,E14,E15,E16,E17,E18,E19,E20,E21,E22,E23,E24,E25,E26,E27,E28,E29,E30)</f>
        <v>27943</v>
      </c>
      <c r="F8" s="639">
        <f>SUM(F10,F11,F12,F13,F14,F15,F16,F17,F18,F19,F20,F21,F22,F23,F24,F25,F26,F27,F28,F29,F30)</f>
        <v>100</v>
      </c>
      <c r="I8" s="655"/>
      <c r="J8" s="655"/>
      <c r="K8" s="655"/>
    </row>
    <row r="9" spans="2:11" ht="13.5" customHeight="1" thickBot="1" x14ac:dyDescent="0.3">
      <c r="B9" s="683" t="s">
        <v>401</v>
      </c>
      <c r="C9" s="845" t="s">
        <v>318</v>
      </c>
      <c r="D9" s="850"/>
      <c r="E9" s="851"/>
      <c r="F9" s="640"/>
      <c r="I9" s="656"/>
      <c r="J9" s="656"/>
      <c r="K9" s="656"/>
    </row>
    <row r="10" spans="2:11" ht="18" customHeight="1" x14ac:dyDescent="0.25">
      <c r="B10" s="859" t="s">
        <v>175</v>
      </c>
      <c r="C10" s="860" t="s">
        <v>297</v>
      </c>
      <c r="D10" s="852">
        <v>224</v>
      </c>
      <c r="E10" s="261">
        <v>466</v>
      </c>
      <c r="F10" s="262">
        <f>SUM(E10/E31)*100</f>
        <v>1.6676806355795728</v>
      </c>
      <c r="H10" s="148">
        <v>1</v>
      </c>
      <c r="I10" s="645">
        <f>RANK(E10,$E$10:$E$30,1)+COUNTIF($E$10:E10,E10)-1</f>
        <v>10</v>
      </c>
      <c r="J10" s="664" t="str">
        <f>INDEX(C10:F30,MATCH(21,I10:I30,0),1)</f>
        <v>Przetwórstwo przemysłowe</v>
      </c>
      <c r="K10" s="665">
        <f>INDEX(C10:F30,MATCH(21,I10:I30,0),4)</f>
        <v>21.483019002970334</v>
      </c>
    </row>
    <row r="11" spans="2:11" ht="16.5" customHeight="1" x14ac:dyDescent="0.25">
      <c r="B11" s="841" t="s">
        <v>176</v>
      </c>
      <c r="C11" s="846" t="s">
        <v>298</v>
      </c>
      <c r="D11" s="853">
        <v>33</v>
      </c>
      <c r="E11" s="144">
        <v>32</v>
      </c>
      <c r="F11" s="263">
        <f>SUM(E11/E31)*100</f>
        <v>0.114518841928211</v>
      </c>
      <c r="H11" s="148">
        <v>2</v>
      </c>
      <c r="I11" s="646">
        <f>RANK(E11,$E$10:$E$30,1)+COUNTIF($E$10:E11,E11)-1</f>
        <v>4</v>
      </c>
      <c r="J11" s="650" t="str">
        <f>INDEX(C10:F30,MATCH(20,I10:I30,0),1)</f>
        <v>Handel hurtowy i detaliczny; naprawa pojazdów samochodowych, włączając motocykle</v>
      </c>
      <c r="K11" s="660">
        <f>INDEX(C10:F30,MATCH(20,I10:I30,0),4)</f>
        <v>14.898185592098201</v>
      </c>
    </row>
    <row r="12" spans="2:11" ht="17.25" customHeight="1" x14ac:dyDescent="0.25">
      <c r="B12" s="841" t="s">
        <v>450</v>
      </c>
      <c r="C12" s="846" t="s">
        <v>299</v>
      </c>
      <c r="D12" s="853">
        <v>5760</v>
      </c>
      <c r="E12" s="144">
        <v>6003</v>
      </c>
      <c r="F12" s="263">
        <f>SUM(E12/E31)*100</f>
        <v>21.483019002970334</v>
      </c>
      <c r="H12" s="148">
        <v>3</v>
      </c>
      <c r="I12" s="646">
        <f>RANK(E12,$E$10:$E$30,1)+COUNTIF($E$10:E12,E12)-1</f>
        <v>21</v>
      </c>
      <c r="J12" s="650" t="str">
        <f>INDEX(C10:F30,MATCH(19,I10:I30,0),1)</f>
        <v>Budownictwo</v>
      </c>
      <c r="K12" s="660">
        <f>INDEX(C10:F30,MATCH(19,I10:I30,0),4)</f>
        <v>13.31281537415453</v>
      </c>
    </row>
    <row r="13" spans="2:11" ht="26.25" customHeight="1" x14ac:dyDescent="0.25">
      <c r="B13" s="861" t="s">
        <v>451</v>
      </c>
      <c r="C13" s="862" t="s">
        <v>300</v>
      </c>
      <c r="D13" s="853">
        <v>27</v>
      </c>
      <c r="E13" s="144">
        <v>30</v>
      </c>
      <c r="F13" s="263">
        <f>SUM(E13/E31)*100</f>
        <v>0.10736141430769781</v>
      </c>
      <c r="H13" s="148">
        <v>4</v>
      </c>
      <c r="I13" s="646">
        <f>RANK(E13,$E$10:$E$30,1)+COUNTIF($E$10:E13,E13)-1</f>
        <v>3</v>
      </c>
      <c r="J13" s="650" t="str">
        <f>INDEX(C10:F30,MATCH(18,I10:I30,0),1)</f>
        <v>Działalność w zakresie usług administrowania i działalność wspierająca</v>
      </c>
      <c r="K13" s="660">
        <f>INDEX(C10:F30,MATCH(18,I10:I30,0),4)</f>
        <v>12.350141359195504</v>
      </c>
    </row>
    <row r="14" spans="2:11" ht="18" customHeight="1" x14ac:dyDescent="0.25">
      <c r="B14" s="861" t="s">
        <v>452</v>
      </c>
      <c r="C14" s="862" t="s">
        <v>301</v>
      </c>
      <c r="D14" s="853">
        <v>332</v>
      </c>
      <c r="E14" s="144">
        <v>247</v>
      </c>
      <c r="F14" s="263">
        <f>SUM(E14/E31)*100</f>
        <v>0.88394231113337862</v>
      </c>
      <c r="H14" s="148">
        <v>5</v>
      </c>
      <c r="I14" s="646">
        <f>RANK(E14,$E$10:$E$30,1)+COUNTIF($E$10:E14,E14)-1</f>
        <v>8</v>
      </c>
      <c r="J14" s="650" t="str">
        <f>INDEX(C10:F30,MATCH(17,I10:I30,0),1)</f>
        <v>Administracja publiczna i obrona narodowa; obowiązkowe zabezpieczenia społeczne</v>
      </c>
      <c r="K14" s="660">
        <f>INDEX(C10:F30,MATCH(17,I10:I30,0),4)</f>
        <v>7.3148910281644772</v>
      </c>
    </row>
    <row r="15" spans="2:11" ht="17.25" customHeight="1" x14ac:dyDescent="0.25">
      <c r="B15" s="841" t="s">
        <v>453</v>
      </c>
      <c r="C15" s="846" t="s">
        <v>302</v>
      </c>
      <c r="D15" s="853">
        <v>3910</v>
      </c>
      <c r="E15" s="857">
        <v>3720</v>
      </c>
      <c r="F15" s="643">
        <f>SUM(E15/E31)*100</f>
        <v>13.31281537415453</v>
      </c>
      <c r="H15" s="148">
        <v>6</v>
      </c>
      <c r="I15" s="649">
        <f>RANK(E15,$E$10:$E$30,1)+COUNTIF($E$10:E15,E15)-1</f>
        <v>19</v>
      </c>
      <c r="J15" s="651" t="str">
        <f>INDEX(C10:F30,MATCH(16,I10:I30,0),1)</f>
        <v>Opieka zdrowotna i pomoc społeczna</v>
      </c>
      <c r="K15" s="661">
        <f>INDEX(C10:F30,MATCH(16,I10:I30,0),4)</f>
        <v>5.3036538668002713</v>
      </c>
    </row>
    <row r="16" spans="2:11" ht="21" customHeight="1" x14ac:dyDescent="0.25">
      <c r="B16" s="841" t="s">
        <v>454</v>
      </c>
      <c r="C16" s="846" t="s">
        <v>303</v>
      </c>
      <c r="D16" s="853">
        <v>3612</v>
      </c>
      <c r="E16" s="857">
        <v>4163</v>
      </c>
      <c r="F16" s="643">
        <f>SUM(E16/E31)*100</f>
        <v>14.898185592098201</v>
      </c>
      <c r="H16" s="148">
        <v>7</v>
      </c>
      <c r="I16" s="649">
        <f>RANK(E16,$E$10:$E$30,1)+COUNTIF($E$10:E16,E16)-1</f>
        <v>20</v>
      </c>
      <c r="J16" s="651" t="str">
        <f>INDEX(C10:F30,MATCH(15,I10:I30,0),1)</f>
        <v>Działalność związana z zakwaterowaniem i usługami gastronomicznymi</v>
      </c>
      <c r="K16" s="661">
        <f>INDEX(C10:F30,MATCH(15,I10:I30,0),4)</f>
        <v>5.0567226138925667</v>
      </c>
    </row>
    <row r="17" spans="2:11" ht="17.25" customHeight="1" x14ac:dyDescent="0.25">
      <c r="B17" s="841" t="s">
        <v>456</v>
      </c>
      <c r="C17" s="846" t="s">
        <v>304</v>
      </c>
      <c r="D17" s="854">
        <v>1098</v>
      </c>
      <c r="E17" s="855">
        <v>1413</v>
      </c>
      <c r="F17" s="265">
        <f>SUM(E17/E31)*100</f>
        <v>5.0567226138925667</v>
      </c>
      <c r="H17" s="148">
        <v>8</v>
      </c>
      <c r="I17" s="647">
        <f>RANK(E17,$E$10:$E$30,1)+COUNTIF($E$10:E17,E17)-1</f>
        <v>15</v>
      </c>
      <c r="J17" s="666" t="str">
        <f>INDEX(C10:F30,MATCH(14,I10:I30,0),1)</f>
        <v>Działalność profesjonalna, naukowa i techniczna</v>
      </c>
      <c r="K17" s="667">
        <f>INDEX(C10:F30,MATCH(14,I10:I30,0),4)</f>
        <v>3.7433346455283969</v>
      </c>
    </row>
    <row r="18" spans="2:11" ht="18" customHeight="1" x14ac:dyDescent="0.25">
      <c r="B18" s="841" t="s">
        <v>455</v>
      </c>
      <c r="C18" s="846" t="s">
        <v>305</v>
      </c>
      <c r="D18" s="853">
        <v>1133</v>
      </c>
      <c r="E18" s="856">
        <v>953</v>
      </c>
      <c r="F18" s="644">
        <f>SUM(E18/E31)*100</f>
        <v>3.410514261174534</v>
      </c>
      <c r="H18" s="148">
        <v>9</v>
      </c>
      <c r="I18" s="648">
        <f>RANK(E18,$E$10:$E$30,1)+COUNTIF($E$10:E18,E18)-1</f>
        <v>12</v>
      </c>
      <c r="J18" s="654" t="str">
        <f>INDEX(C10:F30,MATCH(13,I10:I30,0),1)</f>
        <v>Edukacja</v>
      </c>
      <c r="K18" s="663">
        <f>INDEX(C10:F30,MATCH(13,I10:I30,0),4)</f>
        <v>3.5393479583437712</v>
      </c>
    </row>
    <row r="19" spans="2:11" ht="15.75" customHeight="1" x14ac:dyDescent="0.25">
      <c r="B19" s="863" t="s">
        <v>457</v>
      </c>
      <c r="C19" s="864" t="s">
        <v>306</v>
      </c>
      <c r="D19" s="853">
        <v>210</v>
      </c>
      <c r="E19" s="856">
        <v>196</v>
      </c>
      <c r="F19" s="644">
        <f>SUM(E19/E31)*100</f>
        <v>0.70142790681029232</v>
      </c>
      <c r="H19" s="148">
        <v>10</v>
      </c>
      <c r="I19" s="648">
        <f>RANK(E19,$E$10:$E$30,1)+COUNTIF($E$10:E19,E19)-1</f>
        <v>7</v>
      </c>
      <c r="J19" s="652" t="str">
        <f>INDEX(C10:F30,MATCH(12,I10:I30,0),1)</f>
        <v>Transport i gospodarka magazynowa</v>
      </c>
      <c r="K19" s="662">
        <f>INDEX(C10:F30,MATCH(12,I10:I30,0),4)</f>
        <v>3.410514261174534</v>
      </c>
    </row>
    <row r="20" spans="2:11" ht="17.25" customHeight="1" x14ac:dyDescent="0.25">
      <c r="B20" s="863" t="s">
        <v>458</v>
      </c>
      <c r="C20" s="864" t="s">
        <v>319</v>
      </c>
      <c r="D20" s="853">
        <v>213</v>
      </c>
      <c r="E20" s="856">
        <v>174</v>
      </c>
      <c r="F20" s="644">
        <f>SUM(E20/E31)*100</f>
        <v>0.62269620298464734</v>
      </c>
      <c r="H20" s="148">
        <v>11</v>
      </c>
      <c r="I20" s="648">
        <f>RANK(E20,$E$10:$E$30,1)+COUNTIF($E$10:E20,E20)-1</f>
        <v>6</v>
      </c>
      <c r="J20" s="652" t="str">
        <f>INDEX(C10:F30,MATCH(11,I10:I30,0),1)</f>
        <v>Pozostała działalność usługowa</v>
      </c>
      <c r="K20" s="662">
        <f>INDEX(C10:F30,MATCH(11,I10:I30,0),4)</f>
        <v>3.3997781197437642</v>
      </c>
    </row>
    <row r="21" spans="2:11" ht="16.5" customHeight="1" x14ac:dyDescent="0.25">
      <c r="B21" s="865" t="s">
        <v>459</v>
      </c>
      <c r="C21" s="866" t="s">
        <v>307</v>
      </c>
      <c r="D21" s="853">
        <v>162</v>
      </c>
      <c r="E21" s="857">
        <v>149</v>
      </c>
      <c r="F21" s="643">
        <f>SUM(E21/E31)*100</f>
        <v>0.5332283577282324</v>
      </c>
      <c r="H21" s="148">
        <v>12</v>
      </c>
      <c r="I21" s="649">
        <f>RANK(E21,$E$10:$E$30,1)+COUNTIF($E$10:E21,E21)-1</f>
        <v>5</v>
      </c>
      <c r="J21" s="653" t="str">
        <f>INDEX(C10:F30,MATCH(10,I10:I30,0),1)</f>
        <v>Rolnictwo, leśnictwo, łowiectwo i rybactwo</v>
      </c>
      <c r="K21" s="346">
        <f>INDEX(C10:F30,MATCH(10,I10:I30,0),4)</f>
        <v>1.6676806355795728</v>
      </c>
    </row>
    <row r="22" spans="2:11" x14ac:dyDescent="0.25">
      <c r="B22" s="841" t="s">
        <v>460</v>
      </c>
      <c r="C22" s="846" t="s">
        <v>308</v>
      </c>
      <c r="D22" s="853">
        <v>1057</v>
      </c>
      <c r="E22" s="856">
        <v>1046</v>
      </c>
      <c r="F22" s="644">
        <f>SUM(E22/E31)*100</f>
        <v>3.7433346455283969</v>
      </c>
      <c r="H22" s="148">
        <v>13</v>
      </c>
      <c r="I22" s="648">
        <f>RANK(E22,$E$10:$E$30,1)+COUNTIF($E$10:E22,E22)-1</f>
        <v>14</v>
      </c>
      <c r="J22" s="652" t="str">
        <f>INDEX(C10:F30,MATCH(9,I10:I30,0),1)</f>
        <v>Działalność związana z kulturą, rozrywką i rekreacją</v>
      </c>
      <c r="K22" s="662">
        <f>INDEX(C10:F30,MATCH(9,I10:I30,0),4)</f>
        <v>1.5352682246000786</v>
      </c>
    </row>
    <row r="23" spans="2:11" ht="18" customHeight="1" x14ac:dyDescent="0.25">
      <c r="B23" s="841" t="s">
        <v>461</v>
      </c>
      <c r="C23" s="846" t="s">
        <v>309</v>
      </c>
      <c r="D23" s="853">
        <v>2344</v>
      </c>
      <c r="E23" s="856">
        <v>3451</v>
      </c>
      <c r="F23" s="644">
        <f>SUM(E23/E31)*100</f>
        <v>12.350141359195504</v>
      </c>
      <c r="H23" s="148">
        <v>14</v>
      </c>
      <c r="I23" s="648">
        <f>RANK(E23,$E$10:$E$30,1)+COUNTIF($E$10:E23,E23)-1</f>
        <v>18</v>
      </c>
      <c r="J23" s="652" t="str">
        <f>INDEX(C10:F30,MATCH(8,I10:I30,0),1)</f>
        <v>Dostawa wody, gospodarowanie ściekami i odpadami oraz działalność związana z rekultywacją</v>
      </c>
      <c r="K23" s="662">
        <f>INDEX(C10:F30,MATCH(8,I10:I30,0),4)</f>
        <v>0.88394231113337862</v>
      </c>
    </row>
    <row r="24" spans="2:11" ht="17.25" customHeight="1" x14ac:dyDescent="0.25">
      <c r="B24" s="841" t="s">
        <v>317</v>
      </c>
      <c r="C24" s="846" t="s">
        <v>310</v>
      </c>
      <c r="D24" s="853">
        <v>1934</v>
      </c>
      <c r="E24" s="856">
        <v>2044</v>
      </c>
      <c r="F24" s="644">
        <f>SUM(E24/E31)*100</f>
        <v>7.3148910281644772</v>
      </c>
      <c r="H24" s="148">
        <v>15</v>
      </c>
      <c r="I24" s="648">
        <f>RANK(E24,$E$10:$E$30,1)+COUNTIF($E$10:E24,E24)-1</f>
        <v>17</v>
      </c>
      <c r="J24" s="652" t="str">
        <f>INDEX(C10:F30,MATCH(7,I10:I30,0),1)</f>
        <v>Informacja i komunikacja</v>
      </c>
      <c r="K24" s="662">
        <f>INDEX(C10:F30,MATCH(7,I10:I30,0),4)</f>
        <v>0.70142790681029232</v>
      </c>
    </row>
    <row r="25" spans="2:11" ht="19.5" customHeight="1" x14ac:dyDescent="0.25">
      <c r="B25" s="841" t="s">
        <v>462</v>
      </c>
      <c r="C25" s="846" t="s">
        <v>311</v>
      </c>
      <c r="D25" s="853">
        <v>761</v>
      </c>
      <c r="E25" s="856">
        <v>989</v>
      </c>
      <c r="F25" s="644">
        <f>SUM(E25/E31)*100</f>
        <v>3.5393479583437712</v>
      </c>
      <c r="H25" s="148">
        <v>16</v>
      </c>
      <c r="I25" s="648">
        <f>RANK(E25,$E$10:$E$30,1)+COUNTIF($E$10:E25,E25)-1</f>
        <v>13</v>
      </c>
      <c r="J25" s="652" t="str">
        <f>INDEX(C10:F30,MATCH(6,I10:I30,0),1)</f>
        <v>Działalność finansowa i ubezpieczeniowa</v>
      </c>
      <c r="K25" s="662">
        <f>INDEX(C10:F30,MATCH(6,I10:I30,0),4)</f>
        <v>0.62269620298464734</v>
      </c>
    </row>
    <row r="26" spans="2:11" ht="17.25" customHeight="1" x14ac:dyDescent="0.25">
      <c r="B26" s="841" t="s">
        <v>463</v>
      </c>
      <c r="C26" s="846" t="s">
        <v>312</v>
      </c>
      <c r="D26" s="853">
        <v>1272</v>
      </c>
      <c r="E26" s="856">
        <v>1482</v>
      </c>
      <c r="F26" s="644">
        <f>SUM(E26/E31)*100</f>
        <v>5.3036538668002713</v>
      </c>
      <c r="H26" s="148">
        <v>17</v>
      </c>
      <c r="I26" s="648">
        <f>RANK(E26,$E$10:$E$30,1)+COUNTIF($E$10:E26,E26)-1</f>
        <v>16</v>
      </c>
      <c r="J26" s="652" t="str">
        <f>INDEX(C10:F30,MATCH(5,I10:I30,0),1)</f>
        <v>Działalność związana z obsługą rynku nieruchomości</v>
      </c>
      <c r="K26" s="662">
        <f>INDEX(C10:F30,MATCH(5,I10:I30,0),4)</f>
        <v>0.5332283577282324</v>
      </c>
    </row>
    <row r="27" spans="2:11" ht="17.25" customHeight="1" x14ac:dyDescent="0.25">
      <c r="B27" s="841" t="s">
        <v>464</v>
      </c>
      <c r="C27" s="846" t="s">
        <v>313</v>
      </c>
      <c r="D27" s="853">
        <v>311</v>
      </c>
      <c r="E27" s="857">
        <v>429</v>
      </c>
      <c r="F27" s="643">
        <f>SUM(E27/E31)*100</f>
        <v>1.5352682246000786</v>
      </c>
      <c r="H27" s="148">
        <v>18</v>
      </c>
      <c r="I27" s="649">
        <f>RANK(E27,$E$10:$E$30,1)+COUNTIF($E$10:E27,E27)-1</f>
        <v>9</v>
      </c>
      <c r="J27" s="653" t="str">
        <f>INDEX(C10:F30,MATCH(4,I10:I30,0),1)</f>
        <v>Górnictwo i wydobywanie</v>
      </c>
      <c r="K27" s="346">
        <f>INDEX(C10:F30,MATCH(4,I10:I30,0),4)</f>
        <v>0.114518841928211</v>
      </c>
    </row>
    <row r="28" spans="2:11" ht="19.5" customHeight="1" x14ac:dyDescent="0.25">
      <c r="B28" s="841" t="s">
        <v>465</v>
      </c>
      <c r="C28" s="846" t="s">
        <v>314</v>
      </c>
      <c r="D28" s="853">
        <v>710</v>
      </c>
      <c r="E28" s="856">
        <v>950</v>
      </c>
      <c r="F28" s="644">
        <f>SUM(E28/E31)*100</f>
        <v>3.3997781197437642</v>
      </c>
      <c r="H28" s="148">
        <v>19</v>
      </c>
      <c r="I28" s="648">
        <f>RANK(E28,$E$10:$E$30,1)+COUNTIF($E$10:E28,E28)-1</f>
        <v>11</v>
      </c>
      <c r="J28" s="652" t="str">
        <f>INDEX(C10:F30,MATCH(3,I10:I30,0),1)</f>
        <v>Wytwarzanie i zaopatrywanie w energię elektryczną, gaz, parę wodną, gorącą wodę i powietrze do układów klimatyzacyjnych</v>
      </c>
      <c r="K28" s="662">
        <f>INDEX(C10:F30,MATCH(3,I10:I30,0),4)</f>
        <v>0.10736141430769781</v>
      </c>
    </row>
    <row r="29" spans="2:11" ht="26.25" customHeight="1" x14ac:dyDescent="0.25">
      <c r="B29" s="841" t="s">
        <v>466</v>
      </c>
      <c r="C29" s="846" t="s">
        <v>315</v>
      </c>
      <c r="D29" s="853">
        <v>1</v>
      </c>
      <c r="E29" s="856">
        <v>4</v>
      </c>
      <c r="F29" s="644">
        <f>SUM(E29/E31)*100</f>
        <v>1.4314855241026376E-2</v>
      </c>
      <c r="H29" s="148">
        <v>20</v>
      </c>
      <c r="I29" s="648">
        <f>RANK(E29,$E$10:$E$30,1)+COUNTIF($E$10:E29,E29)-1</f>
        <v>2</v>
      </c>
      <c r="J29" s="652" t="str">
        <f>INDEX(C10:F30,MATCH(2,I10:I30,0),1)</f>
        <v>Gospodarstwa domowe zatrudniające pracowników; gospodarstwa domowe produkujące wyroby i świadczące usługi na własne potrzeby</v>
      </c>
      <c r="K29" s="662">
        <f>INDEX(C10:F30,MATCH(2,I10:I30,0),4)</f>
        <v>1.4314855241026376E-2</v>
      </c>
    </row>
    <row r="30" spans="2:11" ht="18.75" customHeight="1" x14ac:dyDescent="0.25">
      <c r="B30" s="841" t="s">
        <v>467</v>
      </c>
      <c r="C30" s="846" t="s">
        <v>316</v>
      </c>
      <c r="D30" s="853" t="s">
        <v>584</v>
      </c>
      <c r="E30" s="856">
        <v>2</v>
      </c>
      <c r="F30" s="644">
        <f>SUM(E30/E31)*100</f>
        <v>7.1574276205131878E-3</v>
      </c>
      <c r="H30" s="148">
        <v>21</v>
      </c>
      <c r="I30" s="648">
        <f>RANK(E30,$E$10:$E$30,1)+COUNTIF($E$10:E30,E30)-1</f>
        <v>1</v>
      </c>
      <c r="J30" s="652" t="str">
        <f>INDEX(C10:F30,MATCH(1,I10:I30,0),1)</f>
        <v>Działalność niezidentyfikowana</v>
      </c>
      <c r="K30" s="662">
        <f>INDEX(C10:F30,MATCH(1,I10:I30,0),4)</f>
        <v>7.1574276205131878E-3</v>
      </c>
    </row>
    <row r="31" spans="2:11" ht="16.5" customHeight="1" thickBot="1" x14ac:dyDescent="0.3">
      <c r="B31" s="842" t="s">
        <v>102</v>
      </c>
      <c r="C31" s="847" t="s">
        <v>58</v>
      </c>
      <c r="D31" s="858">
        <f>SUM(D10:D30)</f>
        <v>25104</v>
      </c>
      <c r="E31" s="858">
        <f>SUM(E10:E30)</f>
        <v>27943</v>
      </c>
      <c r="F31" s="642">
        <f>SUM(E31/E31)*100</f>
        <v>100</v>
      </c>
      <c r="I31" s="657"/>
      <c r="J31" s="658"/>
      <c r="K31" s="659"/>
    </row>
    <row r="32" spans="2:11" x14ac:dyDescent="0.25">
      <c r="C32" s="11" t="s">
        <v>583</v>
      </c>
      <c r="E32" s="502"/>
    </row>
    <row r="33" spans="3:8" x14ac:dyDescent="0.25">
      <c r="C33" s="11" t="s">
        <v>448</v>
      </c>
      <c r="E33" s="502"/>
    </row>
    <row r="34" spans="3:8" x14ac:dyDescent="0.25">
      <c r="F34" s="11" t="s">
        <v>175</v>
      </c>
      <c r="G34" s="502">
        <f>SUM(E10)</f>
        <v>466</v>
      </c>
      <c r="H34" s="379">
        <f>SUM(G34/G38)*100</f>
        <v>1.6676806355795728</v>
      </c>
    </row>
    <row r="35" spans="3:8" x14ac:dyDescent="0.25">
      <c r="F35" s="11" t="s">
        <v>468</v>
      </c>
      <c r="G35" s="502">
        <f>SUM(E11:E15)</f>
        <v>10032</v>
      </c>
      <c r="H35" s="684">
        <f>SUM(G35/G38)*100</f>
        <v>35.90165694449415</v>
      </c>
    </row>
    <row r="36" spans="3:8" x14ac:dyDescent="0.25">
      <c r="F36" s="11" t="s">
        <v>454</v>
      </c>
      <c r="G36" s="502">
        <f>SUM(E16)</f>
        <v>4163</v>
      </c>
      <c r="H36" s="379">
        <f>SUM(G36/G38)*100</f>
        <v>14.898185592098201</v>
      </c>
    </row>
    <row r="37" spans="3:8" x14ac:dyDescent="0.25">
      <c r="F37" s="11" t="s">
        <v>469</v>
      </c>
      <c r="G37" s="502">
        <f>SUM(E17:E30)</f>
        <v>13282</v>
      </c>
      <c r="H37" s="379">
        <f>SUM(G37/G38)*100</f>
        <v>47.532476827828077</v>
      </c>
    </row>
    <row r="38" spans="3:8" x14ac:dyDescent="0.25">
      <c r="G38" s="502">
        <f>SUM(G34:G37)</f>
        <v>27943</v>
      </c>
      <c r="H38" s="379">
        <f>SUM(H34:H37)</f>
        <v>100</v>
      </c>
    </row>
    <row r="40" spans="3:8" x14ac:dyDescent="0.25">
      <c r="F40" s="11" t="s">
        <v>175</v>
      </c>
      <c r="G40" s="502">
        <f>SUM(D10)</f>
        <v>224</v>
      </c>
      <c r="H40" s="379">
        <f>SUM(G40/G44)*100</f>
        <v>0.89228808158062467</v>
      </c>
    </row>
    <row r="41" spans="3:8" x14ac:dyDescent="0.25">
      <c r="F41" s="11" t="s">
        <v>468</v>
      </c>
      <c r="G41" s="502">
        <f>SUM(D11:D15)</f>
        <v>10062</v>
      </c>
      <c r="H41" s="684">
        <f>SUM(G41/G44)*100</f>
        <v>40.081261950286809</v>
      </c>
    </row>
    <row r="42" spans="3:8" x14ac:dyDescent="0.25">
      <c r="F42" s="11" t="s">
        <v>454</v>
      </c>
      <c r="G42" s="502">
        <f>SUM(D16)</f>
        <v>3612</v>
      </c>
      <c r="H42" s="379">
        <f>SUM(G42/G44)*100</f>
        <v>14.388145315487572</v>
      </c>
    </row>
    <row r="43" spans="3:8" x14ac:dyDescent="0.25">
      <c r="F43" s="11" t="s">
        <v>469</v>
      </c>
      <c r="G43" s="502">
        <f>SUM(D17:D30)</f>
        <v>11206</v>
      </c>
      <c r="H43" s="379">
        <f>SUM(G43/G44)*100</f>
        <v>44.638304652644997</v>
      </c>
    </row>
    <row r="44" spans="3:8" x14ac:dyDescent="0.25">
      <c r="G44" s="502">
        <f>SUM(G40:G43)</f>
        <v>25104</v>
      </c>
      <c r="H44" s="379">
        <f>SUM(H40:H43)</f>
        <v>100</v>
      </c>
    </row>
  </sheetData>
  <mergeCells count="7">
    <mergeCell ref="K6:K7"/>
    <mergeCell ref="C3:E3"/>
    <mergeCell ref="C4:E4"/>
    <mergeCell ref="C2:E2"/>
    <mergeCell ref="F6:F7"/>
    <mergeCell ref="I6:I7"/>
    <mergeCell ref="J6:J7"/>
  </mergeCells>
  <printOptions horizontalCentered="1"/>
  <pageMargins left="0.31496062992125984" right="0" top="1.7322834645669292" bottom="0" header="0" footer="0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J20"/>
  <sheetViews>
    <sheetView workbookViewId="0">
      <selection activeCell="B1" sqref="B1"/>
    </sheetView>
  </sheetViews>
  <sheetFormatPr defaultColWidth="9.140625" defaultRowHeight="15" x14ac:dyDescent="0.25"/>
  <cols>
    <col min="1" max="1" width="4.42578125" style="11" customWidth="1"/>
    <col min="2" max="2" width="53.7109375" style="11" customWidth="1"/>
    <col min="3" max="3" width="9.28515625" style="11" customWidth="1"/>
    <col min="4" max="4" width="9.42578125" style="11" customWidth="1"/>
    <col min="5" max="5" width="10" style="11" customWidth="1"/>
    <col min="6" max="6" width="8.85546875" style="11" customWidth="1"/>
    <col min="7" max="7" width="13.28515625" style="11" customWidth="1"/>
    <col min="8" max="8" width="13.85546875" style="11" customWidth="1"/>
    <col min="9" max="9" width="2.7109375" style="11" customWidth="1"/>
    <col min="10" max="10" width="10.28515625" style="11" customWidth="1"/>
    <col min="11" max="16384" width="9.140625" style="11"/>
  </cols>
  <sheetData>
    <row r="1" spans="2:9" ht="12.75" customHeight="1" x14ac:dyDescent="0.25"/>
    <row r="2" spans="2:9" x14ac:dyDescent="0.25">
      <c r="B2" s="11" t="s">
        <v>433</v>
      </c>
    </row>
    <row r="3" spans="2:9" x14ac:dyDescent="0.25">
      <c r="B3" s="11" t="s">
        <v>376</v>
      </c>
    </row>
    <row r="4" spans="2:9" ht="12.75" customHeight="1" thickBot="1" x14ac:dyDescent="0.3"/>
    <row r="5" spans="2:9" ht="31.5" customHeight="1" x14ac:dyDescent="0.25">
      <c r="B5" s="1010" t="s">
        <v>174</v>
      </c>
      <c r="C5" s="1012" t="s">
        <v>192</v>
      </c>
      <c r="D5" s="1014" t="s">
        <v>120</v>
      </c>
      <c r="E5" s="1015"/>
      <c r="F5" s="1016"/>
      <c r="G5" s="1017" t="s">
        <v>509</v>
      </c>
      <c r="H5" s="1018"/>
      <c r="I5" s="583"/>
    </row>
    <row r="6" spans="2:9" ht="48" customHeight="1" thickBot="1" x14ac:dyDescent="0.3">
      <c r="B6" s="1011"/>
      <c r="C6" s="1013"/>
      <c r="D6" s="480" t="s">
        <v>411</v>
      </c>
      <c r="E6" s="595" t="s">
        <v>471</v>
      </c>
      <c r="F6" s="481" t="s">
        <v>472</v>
      </c>
      <c r="G6" s="488" t="s">
        <v>510</v>
      </c>
      <c r="H6" s="489" t="s">
        <v>511</v>
      </c>
      <c r="I6" s="583"/>
    </row>
    <row r="7" spans="2:9" ht="36" customHeight="1" x14ac:dyDescent="0.25">
      <c r="B7" s="259" t="s">
        <v>181</v>
      </c>
      <c r="C7" s="474">
        <v>1</v>
      </c>
      <c r="D7" s="482">
        <v>605</v>
      </c>
      <c r="E7" s="215">
        <v>547</v>
      </c>
      <c r="F7" s="216">
        <v>527</v>
      </c>
      <c r="G7" s="485">
        <f>SUM(F7)-E7</f>
        <v>-20</v>
      </c>
      <c r="H7" s="491">
        <f>SUM(F7-E7)/E7*100</f>
        <v>-3.6563071297989032</v>
      </c>
      <c r="I7" s="581"/>
    </row>
    <row r="8" spans="2:9" ht="24" customHeight="1" x14ac:dyDescent="0.25">
      <c r="B8" s="217" t="s">
        <v>182</v>
      </c>
      <c r="C8" s="475">
        <v>2</v>
      </c>
      <c r="D8" s="483">
        <v>9665</v>
      </c>
      <c r="E8" s="143">
        <v>8978</v>
      </c>
      <c r="F8" s="144">
        <v>8092</v>
      </c>
      <c r="G8" s="483">
        <f t="shared" ref="G8:G19" si="0">SUM(F8)-E8</f>
        <v>-886</v>
      </c>
      <c r="H8" s="241">
        <f t="shared" ref="H8:H19" si="1">SUM(F8-E8)/E8*100</f>
        <v>-9.8685676097126311</v>
      </c>
      <c r="I8" s="581"/>
    </row>
    <row r="9" spans="2:9" ht="23.25" customHeight="1" x14ac:dyDescent="0.25">
      <c r="B9" s="217" t="s">
        <v>183</v>
      </c>
      <c r="C9" s="475">
        <v>3</v>
      </c>
      <c r="D9" s="483">
        <v>11555</v>
      </c>
      <c r="E9" s="143">
        <v>11064</v>
      </c>
      <c r="F9" s="144">
        <v>9761</v>
      </c>
      <c r="G9" s="483">
        <f t="shared" si="0"/>
        <v>-1303</v>
      </c>
      <c r="H9" s="241">
        <f t="shared" si="1"/>
        <v>-11.776934201012292</v>
      </c>
      <c r="I9" s="581"/>
    </row>
    <row r="10" spans="2:9" ht="22.5" customHeight="1" x14ac:dyDescent="0.25">
      <c r="B10" s="217" t="s">
        <v>184</v>
      </c>
      <c r="C10" s="475">
        <v>4</v>
      </c>
      <c r="D10" s="483">
        <v>3493</v>
      </c>
      <c r="E10" s="143">
        <v>3277</v>
      </c>
      <c r="F10" s="144">
        <v>2966</v>
      </c>
      <c r="G10" s="483">
        <f t="shared" si="0"/>
        <v>-311</v>
      </c>
      <c r="H10" s="241">
        <f t="shared" si="1"/>
        <v>-9.4903875495880374</v>
      </c>
      <c r="I10" s="581"/>
    </row>
    <row r="11" spans="2:9" ht="24.75" customHeight="1" x14ac:dyDescent="0.25">
      <c r="B11" s="217" t="s">
        <v>185</v>
      </c>
      <c r="C11" s="475">
        <v>5</v>
      </c>
      <c r="D11" s="483">
        <v>15342</v>
      </c>
      <c r="E11" s="143">
        <v>14706</v>
      </c>
      <c r="F11" s="144">
        <v>13236</v>
      </c>
      <c r="G11" s="483">
        <f t="shared" si="0"/>
        <v>-1470</v>
      </c>
      <c r="H11" s="241">
        <f>SUM(F11-E11)/E11*100</f>
        <v>-9.9959200326397397</v>
      </c>
      <c r="I11" s="581"/>
    </row>
    <row r="12" spans="2:9" ht="24" customHeight="1" x14ac:dyDescent="0.25">
      <c r="B12" s="217" t="s">
        <v>186</v>
      </c>
      <c r="C12" s="475">
        <v>6</v>
      </c>
      <c r="D12" s="483">
        <v>1195</v>
      </c>
      <c r="E12" s="143">
        <v>1274</v>
      </c>
      <c r="F12" s="144">
        <v>1006</v>
      </c>
      <c r="G12" s="483">
        <f t="shared" si="0"/>
        <v>-268</v>
      </c>
      <c r="H12" s="241">
        <f t="shared" si="1"/>
        <v>-21.036106750392463</v>
      </c>
      <c r="I12" s="581"/>
    </row>
    <row r="13" spans="2:9" ht="21.75" customHeight="1" x14ac:dyDescent="0.25">
      <c r="B13" s="217" t="s">
        <v>187</v>
      </c>
      <c r="C13" s="475">
        <v>7</v>
      </c>
      <c r="D13" s="483">
        <v>17718</v>
      </c>
      <c r="E13" s="143">
        <v>16927</v>
      </c>
      <c r="F13" s="144">
        <v>15107</v>
      </c>
      <c r="G13" s="483">
        <f t="shared" si="0"/>
        <v>-1820</v>
      </c>
      <c r="H13" s="241">
        <f t="shared" si="1"/>
        <v>-10.752052933183672</v>
      </c>
      <c r="I13" s="581"/>
    </row>
    <row r="14" spans="2:9" ht="25.5" customHeight="1" x14ac:dyDescent="0.25">
      <c r="B14" s="217" t="s">
        <v>188</v>
      </c>
      <c r="C14" s="475">
        <v>8</v>
      </c>
      <c r="D14" s="483">
        <v>4311</v>
      </c>
      <c r="E14" s="143">
        <v>4139</v>
      </c>
      <c r="F14" s="144">
        <v>3758</v>
      </c>
      <c r="G14" s="483">
        <f t="shared" si="0"/>
        <v>-381</v>
      </c>
      <c r="H14" s="241">
        <f t="shared" si="1"/>
        <v>-9.2051220101473792</v>
      </c>
      <c r="I14" s="581"/>
    </row>
    <row r="15" spans="2:9" ht="21" customHeight="1" x14ac:dyDescent="0.25">
      <c r="B15" s="217" t="s">
        <v>189</v>
      </c>
      <c r="C15" s="475">
        <v>9</v>
      </c>
      <c r="D15" s="483">
        <v>6384</v>
      </c>
      <c r="E15" s="143">
        <v>6239</v>
      </c>
      <c r="F15" s="144">
        <v>5460</v>
      </c>
      <c r="G15" s="483">
        <f t="shared" si="0"/>
        <v>-779</v>
      </c>
      <c r="H15" s="241">
        <f t="shared" si="1"/>
        <v>-12.485975316557141</v>
      </c>
      <c r="I15" s="581"/>
    </row>
    <row r="16" spans="2:9" ht="22.5" customHeight="1" thickBot="1" x14ac:dyDescent="0.3">
      <c r="B16" s="220" t="s">
        <v>196</v>
      </c>
      <c r="C16" s="476">
        <v>0</v>
      </c>
      <c r="D16" s="484">
        <v>36</v>
      </c>
      <c r="E16" s="221">
        <v>31</v>
      </c>
      <c r="F16" s="222">
        <v>26</v>
      </c>
      <c r="G16" s="529">
        <f t="shared" si="0"/>
        <v>-5</v>
      </c>
      <c r="H16" s="242">
        <f t="shared" si="1"/>
        <v>-16.129032258064516</v>
      </c>
      <c r="I16" s="581"/>
    </row>
    <row r="17" spans="2:10" ht="24" customHeight="1" x14ac:dyDescent="0.25">
      <c r="B17" s="259" t="s">
        <v>190</v>
      </c>
      <c r="C17" s="477" t="s">
        <v>175</v>
      </c>
      <c r="D17" s="485">
        <v>10640</v>
      </c>
      <c r="E17" s="260">
        <v>10109</v>
      </c>
      <c r="F17" s="261">
        <v>9077</v>
      </c>
      <c r="G17" s="485">
        <f t="shared" si="0"/>
        <v>-1032</v>
      </c>
      <c r="H17" s="491">
        <f>SUM(F17-E17)/E17*100</f>
        <v>-10.208724898605205</v>
      </c>
      <c r="I17" s="581"/>
      <c r="J17" s="379">
        <f>SUM(F17/F19*100)</f>
        <v>13.152022719369421</v>
      </c>
    </row>
    <row r="18" spans="2:10" ht="26.25" customHeight="1" thickBot="1" x14ac:dyDescent="0.3">
      <c r="B18" s="219" t="s">
        <v>191</v>
      </c>
      <c r="C18" s="478" t="s">
        <v>176</v>
      </c>
      <c r="D18" s="486">
        <f>SUM(D7:D16)</f>
        <v>70304</v>
      </c>
      <c r="E18" s="145">
        <f>SUM(E7:E16)</f>
        <v>67182</v>
      </c>
      <c r="F18" s="145">
        <f>SUM(F7:F16)</f>
        <v>59939</v>
      </c>
      <c r="G18" s="486">
        <f t="shared" si="0"/>
        <v>-7243</v>
      </c>
      <c r="H18" s="264">
        <f t="shared" si="1"/>
        <v>-10.781161620672204</v>
      </c>
      <c r="I18" s="581"/>
      <c r="J18" s="379">
        <f>SUM(D17/D19*100)</f>
        <v>13.144890294524608</v>
      </c>
    </row>
    <row r="19" spans="2:10" ht="23.25" customHeight="1" thickBot="1" x14ac:dyDescent="0.3">
      <c r="B19" s="244" t="s">
        <v>58</v>
      </c>
      <c r="C19" s="479" t="s">
        <v>177</v>
      </c>
      <c r="D19" s="487">
        <f>SUM(D17:D18)</f>
        <v>80944</v>
      </c>
      <c r="E19" s="245">
        <f>SUM(E17:E18)</f>
        <v>77291</v>
      </c>
      <c r="F19" s="258">
        <f>SUM(F17:F18)</f>
        <v>69016</v>
      </c>
      <c r="G19" s="487">
        <f t="shared" si="0"/>
        <v>-8275</v>
      </c>
      <c r="H19" s="490">
        <f t="shared" si="1"/>
        <v>-10.706291806290512</v>
      </c>
      <c r="I19" s="582"/>
    </row>
    <row r="20" spans="2:10" x14ac:dyDescent="0.25">
      <c r="D20" s="148">
        <f>SUM(D7:D17)</f>
        <v>80944</v>
      </c>
      <c r="E20" s="148">
        <f>SUM(E7:E17)</f>
        <v>77291</v>
      </c>
      <c r="F20" s="148">
        <f>SUM(F7:F17)</f>
        <v>69016</v>
      </c>
      <c r="G20" s="502">
        <f>SUM(G7:G17)</f>
        <v>-8275</v>
      </c>
      <c r="H20" s="379"/>
    </row>
  </sheetData>
  <mergeCells count="4">
    <mergeCell ref="B5:B6"/>
    <mergeCell ref="C5:C6"/>
    <mergeCell ref="D5:F5"/>
    <mergeCell ref="G5:H5"/>
  </mergeCells>
  <printOptions horizontalCentered="1"/>
  <pageMargins left="0.6692913385826772" right="0.6692913385826772" top="1.3779527559055118" bottom="0" header="0.31496062992125984" footer="0.31496062992125984"/>
  <pageSetup paperSize="9" scale="9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1:G66"/>
  <sheetViews>
    <sheetView workbookViewId="0">
      <selection activeCell="B1" sqref="B1"/>
    </sheetView>
  </sheetViews>
  <sheetFormatPr defaultColWidth="9.140625" defaultRowHeight="15" x14ac:dyDescent="0.25"/>
  <cols>
    <col min="1" max="1" width="2.140625" style="11" customWidth="1"/>
    <col min="2" max="2" width="60.7109375" style="11" customWidth="1"/>
    <col min="3" max="3" width="10.85546875" style="11" customWidth="1"/>
    <col min="4" max="4" width="12.42578125" style="11" customWidth="1"/>
    <col min="5" max="5" width="9" style="11" customWidth="1"/>
    <col min="6" max="6" width="12" style="11" customWidth="1"/>
    <col min="7" max="16384" width="9.140625" style="11"/>
  </cols>
  <sheetData>
    <row r="1" spans="2:7" ht="11.25" customHeight="1" x14ac:dyDescent="0.25"/>
    <row r="2" spans="2:7" x14ac:dyDescent="0.25">
      <c r="B2" s="11" t="s">
        <v>434</v>
      </c>
    </row>
    <row r="3" spans="2:7" x14ac:dyDescent="0.25">
      <c r="B3" s="11" t="s">
        <v>375</v>
      </c>
    </row>
    <row r="4" spans="2:7" ht="13.5" customHeight="1" thickBot="1" x14ac:dyDescent="0.3"/>
    <row r="5" spans="2:7" ht="45.75" thickBot="1" x14ac:dyDescent="0.3">
      <c r="B5" s="596" t="s">
        <v>174</v>
      </c>
      <c r="C5" s="593" t="s">
        <v>192</v>
      </c>
      <c r="D5" s="227" t="s">
        <v>424</v>
      </c>
      <c r="E5" s="228" t="s">
        <v>512</v>
      </c>
      <c r="F5" s="593" t="s">
        <v>514</v>
      </c>
      <c r="G5" s="594" t="s">
        <v>513</v>
      </c>
    </row>
    <row r="6" spans="2:7" ht="28.5" x14ac:dyDescent="0.25">
      <c r="B6" s="248" t="s">
        <v>237</v>
      </c>
      <c r="C6" s="249">
        <v>1</v>
      </c>
      <c r="D6" s="249">
        <f>SUM(D7:D10)</f>
        <v>605</v>
      </c>
      <c r="E6" s="262">
        <f>SUM(D6/D60)*100</f>
        <v>0.86054847519344557</v>
      </c>
      <c r="F6" s="249">
        <f>SUM(F7:F10)</f>
        <v>527</v>
      </c>
      <c r="G6" s="262">
        <f>SUM(F6/F60)*100</f>
        <v>0.87922721433457351</v>
      </c>
    </row>
    <row r="7" spans="2:7" ht="30" x14ac:dyDescent="0.25">
      <c r="B7" s="217" t="s">
        <v>238</v>
      </c>
      <c r="C7" s="218">
        <v>11</v>
      </c>
      <c r="D7" s="218">
        <v>62</v>
      </c>
      <c r="E7" s="241">
        <f>SUM(D7)/D6*100</f>
        <v>10.24793388429752</v>
      </c>
      <c r="F7" s="218">
        <v>54</v>
      </c>
      <c r="G7" s="241">
        <f>SUM(F7)/F6*100</f>
        <v>10.246679316888045</v>
      </c>
    </row>
    <row r="8" spans="2:7" x14ac:dyDescent="0.25">
      <c r="B8" s="217" t="s">
        <v>193</v>
      </c>
      <c r="C8" s="218">
        <v>12</v>
      </c>
      <c r="D8" s="218">
        <v>148</v>
      </c>
      <c r="E8" s="241">
        <f>SUM(D8)/D6*100</f>
        <v>24.462809917355372</v>
      </c>
      <c r="F8" s="218">
        <v>124</v>
      </c>
      <c r="G8" s="241">
        <f>SUM(F8)/F6*100</f>
        <v>23.52941176470588</v>
      </c>
    </row>
    <row r="9" spans="2:7" x14ac:dyDescent="0.25">
      <c r="B9" s="217" t="s">
        <v>194</v>
      </c>
      <c r="C9" s="218">
        <v>13</v>
      </c>
      <c r="D9" s="218">
        <v>120</v>
      </c>
      <c r="E9" s="241">
        <f>SUM(D9)/D6*100</f>
        <v>19.834710743801654</v>
      </c>
      <c r="F9" s="218">
        <v>84</v>
      </c>
      <c r="G9" s="241">
        <f>SUM(F9)/F6*100</f>
        <v>15.939278937381404</v>
      </c>
    </row>
    <row r="10" spans="2:7" ht="18" customHeight="1" x14ac:dyDescent="0.25">
      <c r="B10" s="217" t="s">
        <v>195</v>
      </c>
      <c r="C10" s="218">
        <v>14</v>
      </c>
      <c r="D10" s="218">
        <v>275</v>
      </c>
      <c r="E10" s="242">
        <f>SUM(D10)/D6*100</f>
        <v>45.454545454545453</v>
      </c>
      <c r="F10" s="218">
        <v>265</v>
      </c>
      <c r="G10" s="242">
        <f>SUM(F10)/F6*100</f>
        <v>50.284629981024665</v>
      </c>
    </row>
    <row r="11" spans="2:7" x14ac:dyDescent="0.25">
      <c r="B11" s="243" t="s">
        <v>182</v>
      </c>
      <c r="C11" s="246">
        <v>2</v>
      </c>
      <c r="D11" s="247">
        <f>SUM(D12:D17)</f>
        <v>9665</v>
      </c>
      <c r="E11" s="263">
        <f>SUM(D11/D60)*100</f>
        <v>13.747439690487029</v>
      </c>
      <c r="F11" s="247">
        <f>SUM(F12:F17)</f>
        <v>8092</v>
      </c>
      <c r="G11" s="263">
        <f>SUM(F11/F60)*100</f>
        <v>13.500392065266354</v>
      </c>
    </row>
    <row r="12" spans="2:7" x14ac:dyDescent="0.25">
      <c r="B12" s="217" t="s">
        <v>198</v>
      </c>
      <c r="C12" s="218">
        <v>21</v>
      </c>
      <c r="D12" s="143">
        <v>1707</v>
      </c>
      <c r="E12" s="241">
        <f>SUM(D12)/D11*100</f>
        <v>17.661665804449044</v>
      </c>
      <c r="F12" s="143">
        <v>1552</v>
      </c>
      <c r="G12" s="241">
        <f>SUM(F12)/F11*100</f>
        <v>19.179436480474543</v>
      </c>
    </row>
    <row r="13" spans="2:7" x14ac:dyDescent="0.25">
      <c r="B13" s="217" t="s">
        <v>199</v>
      </c>
      <c r="C13" s="218">
        <v>22</v>
      </c>
      <c r="D13" s="218">
        <v>520</v>
      </c>
      <c r="E13" s="241">
        <f>SUM(D13)/D11*100</f>
        <v>5.3802379720641484</v>
      </c>
      <c r="F13" s="218">
        <v>469</v>
      </c>
      <c r="G13" s="241">
        <f>SUM(F13)/F11*100</f>
        <v>5.7958477508650521</v>
      </c>
    </row>
    <row r="14" spans="2:7" x14ac:dyDescent="0.25">
      <c r="B14" s="217" t="s">
        <v>200</v>
      </c>
      <c r="C14" s="218">
        <v>23</v>
      </c>
      <c r="D14" s="143">
        <v>1545</v>
      </c>
      <c r="E14" s="241">
        <f>SUM(D14)/D11*100</f>
        <v>15.985514743921367</v>
      </c>
      <c r="F14" s="143">
        <v>1264</v>
      </c>
      <c r="G14" s="241">
        <f>SUM(F14)/F11*100</f>
        <v>15.620365793376173</v>
      </c>
    </row>
    <row r="15" spans="2:7" x14ac:dyDescent="0.25">
      <c r="B15" s="217" t="s">
        <v>201</v>
      </c>
      <c r="C15" s="218">
        <v>24</v>
      </c>
      <c r="D15" s="143">
        <v>3376</v>
      </c>
      <c r="E15" s="241">
        <f>SUM(D15)/D11*100</f>
        <v>34.930160372478014</v>
      </c>
      <c r="F15" s="143">
        <v>2783</v>
      </c>
      <c r="G15" s="241">
        <f>SUM(F15)/F11*100</f>
        <v>34.391992090954027</v>
      </c>
    </row>
    <row r="16" spans="2:7" x14ac:dyDescent="0.25">
      <c r="B16" s="217" t="s">
        <v>202</v>
      </c>
      <c r="C16" s="218">
        <v>25</v>
      </c>
      <c r="D16" s="218">
        <v>230</v>
      </c>
      <c r="E16" s="241">
        <f>SUM(D16)/D11*100</f>
        <v>2.3797206414899121</v>
      </c>
      <c r="F16" s="218">
        <v>195</v>
      </c>
      <c r="G16" s="241">
        <f>SUM(F16)/F11*100</f>
        <v>2.4097874443895204</v>
      </c>
    </row>
    <row r="17" spans="2:7" x14ac:dyDescent="0.25">
      <c r="B17" s="217" t="s">
        <v>203</v>
      </c>
      <c r="C17" s="218">
        <v>26</v>
      </c>
      <c r="D17" s="143">
        <v>2287</v>
      </c>
      <c r="E17" s="241">
        <f>SUM(D17)/D11*100</f>
        <v>23.662700465597517</v>
      </c>
      <c r="F17" s="143">
        <v>1829</v>
      </c>
      <c r="G17" s="241">
        <f>SUM(F17)/F11*100</f>
        <v>22.602570439940685</v>
      </c>
    </row>
    <row r="18" spans="2:7" x14ac:dyDescent="0.25">
      <c r="B18" s="243" t="s">
        <v>183</v>
      </c>
      <c r="C18" s="246">
        <v>3</v>
      </c>
      <c r="D18" s="247">
        <f>SUM(D19:D23)</f>
        <v>11555</v>
      </c>
      <c r="E18" s="263">
        <f>SUM(D18)/D60*100</f>
        <v>16.435764679107876</v>
      </c>
      <c r="F18" s="247">
        <f>SUM(F19:F23)</f>
        <v>9761</v>
      </c>
      <c r="G18" s="263">
        <f>SUM(F18)/F60*100</f>
        <v>16.284889637798429</v>
      </c>
    </row>
    <row r="19" spans="2:7" x14ac:dyDescent="0.25">
      <c r="B19" s="217" t="s">
        <v>204</v>
      </c>
      <c r="C19" s="218">
        <v>31</v>
      </c>
      <c r="D19" s="143">
        <v>4966</v>
      </c>
      <c r="E19" s="241">
        <f>SUM(D19)/D18*100</f>
        <v>42.977066205106013</v>
      </c>
      <c r="F19" s="143">
        <v>4076</v>
      </c>
      <c r="G19" s="241">
        <f>SUM(F19)/F18*100</f>
        <v>41.758016596660177</v>
      </c>
    </row>
    <row r="20" spans="2:7" x14ac:dyDescent="0.25">
      <c r="B20" s="217" t="s">
        <v>205</v>
      </c>
      <c r="C20" s="218">
        <v>32</v>
      </c>
      <c r="D20" s="143">
        <v>1827</v>
      </c>
      <c r="E20" s="241">
        <f>SUM(D20)/D18*100</f>
        <v>15.81133708351363</v>
      </c>
      <c r="F20" s="143">
        <v>1610</v>
      </c>
      <c r="G20" s="241">
        <f>SUM(F20)/F18*100</f>
        <v>16.494211658641532</v>
      </c>
    </row>
    <row r="21" spans="2:7" x14ac:dyDescent="0.25">
      <c r="B21" s="217" t="s">
        <v>206</v>
      </c>
      <c r="C21" s="218">
        <v>33</v>
      </c>
      <c r="D21" s="143">
        <v>2942</v>
      </c>
      <c r="E21" s="241">
        <f>SUM(D21)/D18*100</f>
        <v>25.460839463435743</v>
      </c>
      <c r="F21" s="143">
        <v>2491</v>
      </c>
      <c r="G21" s="241">
        <f>SUM(F21)/F18*100</f>
        <v>25.519926237065878</v>
      </c>
    </row>
    <row r="22" spans="2:7" ht="30" x14ac:dyDescent="0.25">
      <c r="B22" s="217" t="s">
        <v>207</v>
      </c>
      <c r="C22" s="218">
        <v>34</v>
      </c>
      <c r="D22" s="143">
        <v>1228</v>
      </c>
      <c r="E22" s="241">
        <f>SUM(D22)/D18*100</f>
        <v>10.627434011250541</v>
      </c>
      <c r="F22" s="143">
        <v>1077</v>
      </c>
      <c r="G22" s="241">
        <f>SUM(F22)/F18*100</f>
        <v>11.033705562954616</v>
      </c>
    </row>
    <row r="23" spans="2:7" x14ac:dyDescent="0.25">
      <c r="B23" s="217" t="s">
        <v>208</v>
      </c>
      <c r="C23" s="218">
        <v>35</v>
      </c>
      <c r="D23" s="218">
        <v>592</v>
      </c>
      <c r="E23" s="241">
        <f>SUM(D23)/D18*100</f>
        <v>5.1233232366940715</v>
      </c>
      <c r="F23" s="218">
        <v>507</v>
      </c>
      <c r="G23" s="241">
        <f>SUM(F23)/F18*100</f>
        <v>5.1941399446777998</v>
      </c>
    </row>
    <row r="24" spans="2:7" x14ac:dyDescent="0.25">
      <c r="B24" s="243" t="s">
        <v>184</v>
      </c>
      <c r="C24" s="246">
        <v>4</v>
      </c>
      <c r="D24" s="247">
        <f>SUM(D25:D28)</f>
        <v>3493</v>
      </c>
      <c r="E24" s="263">
        <f>SUM(D24)/D60*100</f>
        <v>4.9684228493400084</v>
      </c>
      <c r="F24" s="247">
        <f>SUM(F25:F28)</f>
        <v>2966</v>
      </c>
      <c r="G24" s="263">
        <f>SUM(F24)/F60*100</f>
        <v>4.9483641702397438</v>
      </c>
    </row>
    <row r="25" spans="2:7" x14ac:dyDescent="0.25">
      <c r="B25" s="217" t="s">
        <v>209</v>
      </c>
      <c r="C25" s="218">
        <v>41</v>
      </c>
      <c r="D25" s="143">
        <v>1254</v>
      </c>
      <c r="E25" s="241">
        <f>SUM(D25)/D24*100</f>
        <v>35.900372172917258</v>
      </c>
      <c r="F25" s="143">
        <v>1045</v>
      </c>
      <c r="G25" s="241">
        <f>SUM(F25)/F24*100</f>
        <v>35.232636547538768</v>
      </c>
    </row>
    <row r="26" spans="2:7" x14ac:dyDescent="0.25">
      <c r="B26" s="217" t="s">
        <v>210</v>
      </c>
      <c r="C26" s="218">
        <v>42</v>
      </c>
      <c r="D26" s="218">
        <v>810</v>
      </c>
      <c r="E26" s="241">
        <f>SUM(D26)/D24*100</f>
        <v>23.189235614085312</v>
      </c>
      <c r="F26" s="218">
        <v>679</v>
      </c>
      <c r="G26" s="241">
        <f>SUM(F26)/F24*100</f>
        <v>22.89278489548213</v>
      </c>
    </row>
    <row r="27" spans="2:7" ht="30" x14ac:dyDescent="0.25">
      <c r="B27" s="217" t="s">
        <v>211</v>
      </c>
      <c r="C27" s="218">
        <v>43</v>
      </c>
      <c r="D27" s="143">
        <v>1238</v>
      </c>
      <c r="E27" s="241">
        <f>SUM(D27)/D24*100</f>
        <v>35.44231319782422</v>
      </c>
      <c r="F27" s="143">
        <v>1087</v>
      </c>
      <c r="G27" s="241">
        <f>SUM(F27)/F24*100</f>
        <v>36.648685097774781</v>
      </c>
    </row>
    <row r="28" spans="2:7" x14ac:dyDescent="0.25">
      <c r="B28" s="217" t="s">
        <v>212</v>
      </c>
      <c r="C28" s="218">
        <v>44</v>
      </c>
      <c r="D28" s="218">
        <v>191</v>
      </c>
      <c r="E28" s="241">
        <f>SUM(D28)/D24*100</f>
        <v>5.4680790151732035</v>
      </c>
      <c r="F28" s="218">
        <v>155</v>
      </c>
      <c r="G28" s="241">
        <f>SUM(F28)/F24*100</f>
        <v>5.2258934592043156</v>
      </c>
    </row>
    <row r="29" spans="2:7" x14ac:dyDescent="0.25">
      <c r="B29" s="243" t="s">
        <v>185</v>
      </c>
      <c r="C29" s="246">
        <v>5</v>
      </c>
      <c r="D29" s="247">
        <f>SUM(D30:D33)</f>
        <v>15342</v>
      </c>
      <c r="E29" s="263">
        <f>SUM(D29)/D60*100</f>
        <v>21.822371415566682</v>
      </c>
      <c r="F29" s="247">
        <f>SUM(F30:F33)</f>
        <v>13236</v>
      </c>
      <c r="G29" s="263">
        <f>SUM(F29)/F60*100</f>
        <v>22.082450491332857</v>
      </c>
    </row>
    <row r="30" spans="2:7" x14ac:dyDescent="0.25">
      <c r="B30" s="217" t="s">
        <v>213</v>
      </c>
      <c r="C30" s="218">
        <v>51</v>
      </c>
      <c r="D30" s="143">
        <v>6800</v>
      </c>
      <c r="E30" s="241">
        <f>SUM(D30)/D29*100</f>
        <v>44.322774084213272</v>
      </c>
      <c r="F30" s="143">
        <v>6012</v>
      </c>
      <c r="G30" s="241">
        <f>SUM(F30)/F29*100</f>
        <v>45.42157751586582</v>
      </c>
    </row>
    <row r="31" spans="2:7" x14ac:dyDescent="0.25">
      <c r="B31" s="217" t="s">
        <v>214</v>
      </c>
      <c r="C31" s="218">
        <v>52</v>
      </c>
      <c r="D31" s="143">
        <v>7715</v>
      </c>
      <c r="E31" s="241">
        <f>SUM(D31)/D29*100</f>
        <v>50.286794420544908</v>
      </c>
      <c r="F31" s="143">
        <v>6537</v>
      </c>
      <c r="G31" s="241">
        <f>SUM(F31)/F29*100</f>
        <v>49.388032638259297</v>
      </c>
    </row>
    <row r="32" spans="2:7" x14ac:dyDescent="0.25">
      <c r="B32" s="217" t="s">
        <v>215</v>
      </c>
      <c r="C32" s="218">
        <v>53</v>
      </c>
      <c r="D32" s="218">
        <v>440</v>
      </c>
      <c r="E32" s="241">
        <f>SUM(D32)/D29*100</f>
        <v>2.8679442054490938</v>
      </c>
      <c r="F32" s="218">
        <v>379</v>
      </c>
      <c r="G32" s="241">
        <f>SUM(F32)/F29*100</f>
        <v>2.8634028407373826</v>
      </c>
    </row>
    <row r="33" spans="2:7" x14ac:dyDescent="0.25">
      <c r="B33" s="217" t="s">
        <v>216</v>
      </c>
      <c r="C33" s="218">
        <v>54</v>
      </c>
      <c r="D33" s="218">
        <v>387</v>
      </c>
      <c r="E33" s="241">
        <f>SUM(D33)/D29*100</f>
        <v>2.5224872897927257</v>
      </c>
      <c r="F33" s="218">
        <v>308</v>
      </c>
      <c r="G33" s="241">
        <f>SUM(F33)/F29*100</f>
        <v>2.3269870051375037</v>
      </c>
    </row>
    <row r="34" spans="2:7" x14ac:dyDescent="0.25">
      <c r="B34" s="243" t="s">
        <v>186</v>
      </c>
      <c r="C34" s="246">
        <v>6</v>
      </c>
      <c r="D34" s="247">
        <f>SUM(D35:D37)</f>
        <v>1195</v>
      </c>
      <c r="E34" s="263">
        <f>SUM(D34)/D60*100</f>
        <v>1.6997610377787891</v>
      </c>
      <c r="F34" s="247">
        <f>SUM(F35:F37)</f>
        <v>1006</v>
      </c>
      <c r="G34" s="263">
        <f>SUM(F34)/F60*100</f>
        <v>1.678373012562772</v>
      </c>
    </row>
    <row r="35" spans="2:7" x14ac:dyDescent="0.25">
      <c r="B35" s="217" t="s">
        <v>217</v>
      </c>
      <c r="C35" s="218">
        <v>61</v>
      </c>
      <c r="D35" s="143">
        <v>799</v>
      </c>
      <c r="E35" s="241">
        <f>SUM(D35)/D34*100</f>
        <v>66.861924686192467</v>
      </c>
      <c r="F35" s="143">
        <v>657</v>
      </c>
      <c r="G35" s="241">
        <f>SUM(F35)/F34*100</f>
        <v>65.308151093439363</v>
      </c>
    </row>
    <row r="36" spans="2:7" x14ac:dyDescent="0.25">
      <c r="B36" s="217" t="s">
        <v>218</v>
      </c>
      <c r="C36" s="218">
        <v>62</v>
      </c>
      <c r="D36" s="218">
        <v>258</v>
      </c>
      <c r="E36" s="241">
        <f>SUM(D36)/D34*100</f>
        <v>21.589958158995817</v>
      </c>
      <c r="F36" s="218">
        <v>223</v>
      </c>
      <c r="G36" s="241">
        <f>SUM(F36)/F34*100</f>
        <v>22.166998011928428</v>
      </c>
    </row>
    <row r="37" spans="2:7" x14ac:dyDescent="0.25">
      <c r="B37" s="217" t="s">
        <v>219</v>
      </c>
      <c r="C37" s="218">
        <v>63</v>
      </c>
      <c r="D37" s="218">
        <v>138</v>
      </c>
      <c r="E37" s="241">
        <f>SUM(D37)/D34*100</f>
        <v>11.548117154811715</v>
      </c>
      <c r="F37" s="218">
        <v>126</v>
      </c>
      <c r="G37" s="241">
        <f>SUM(F37)/F34*100</f>
        <v>12.524850894632205</v>
      </c>
    </row>
    <row r="38" spans="2:7" x14ac:dyDescent="0.25">
      <c r="B38" s="243" t="s">
        <v>187</v>
      </c>
      <c r="C38" s="246">
        <v>7</v>
      </c>
      <c r="D38" s="247">
        <f>SUM(D39:D43)</f>
        <v>17718</v>
      </c>
      <c r="E38" s="263">
        <f>SUM(D38)/D60*100</f>
        <v>25.20197997269003</v>
      </c>
      <c r="F38" s="247">
        <f>SUM(F39:F43)</f>
        <v>15107</v>
      </c>
      <c r="G38" s="263">
        <f>SUM(F38)/F60*100</f>
        <v>25.203957356645923</v>
      </c>
    </row>
    <row r="39" spans="2:7" x14ac:dyDescent="0.25">
      <c r="B39" s="217" t="s">
        <v>220</v>
      </c>
      <c r="C39" s="218">
        <v>71</v>
      </c>
      <c r="D39" s="143">
        <v>4547</v>
      </c>
      <c r="E39" s="241">
        <f>SUM(D39)/D38*100</f>
        <v>25.663167400383792</v>
      </c>
      <c r="F39" s="143">
        <v>3917</v>
      </c>
      <c r="G39" s="241">
        <f>SUM(F39)/F38*100</f>
        <v>25.928377573310385</v>
      </c>
    </row>
    <row r="40" spans="2:7" x14ac:dyDescent="0.25">
      <c r="B40" s="217" t="s">
        <v>221</v>
      </c>
      <c r="C40" s="218">
        <v>72</v>
      </c>
      <c r="D40" s="143">
        <v>6140</v>
      </c>
      <c r="E40" s="241">
        <f>SUM(D40)/D38*100</f>
        <v>34.654024156225304</v>
      </c>
      <c r="F40" s="143">
        <v>5100</v>
      </c>
      <c r="G40" s="241">
        <f>SUM(F40)/F38*100</f>
        <v>33.759184484014035</v>
      </c>
    </row>
    <row r="41" spans="2:7" x14ac:dyDescent="0.25">
      <c r="B41" s="217" t="s">
        <v>222</v>
      </c>
      <c r="C41" s="218">
        <v>73</v>
      </c>
      <c r="D41" s="143">
        <v>805</v>
      </c>
      <c r="E41" s="241">
        <f>SUM(D41)/D38*100</f>
        <v>4.543402189863416</v>
      </c>
      <c r="F41" s="143">
        <v>694</v>
      </c>
      <c r="G41" s="241">
        <f>SUM(F41)/F38*100</f>
        <v>4.5938968690011253</v>
      </c>
    </row>
    <row r="42" spans="2:7" x14ac:dyDescent="0.25">
      <c r="B42" s="217" t="s">
        <v>223</v>
      </c>
      <c r="C42" s="218">
        <v>74</v>
      </c>
      <c r="D42" s="143">
        <v>1236</v>
      </c>
      <c r="E42" s="241">
        <f>SUM(D42)/D38*100</f>
        <v>6.9759566542499147</v>
      </c>
      <c r="F42" s="143">
        <v>1080</v>
      </c>
      <c r="G42" s="241">
        <f>SUM(F42)/F38*100</f>
        <v>7.1490037730853242</v>
      </c>
    </row>
    <row r="43" spans="2:7" ht="30" x14ac:dyDescent="0.25">
      <c r="B43" s="217" t="s">
        <v>224</v>
      </c>
      <c r="C43" s="218">
        <v>75</v>
      </c>
      <c r="D43" s="143">
        <v>4990</v>
      </c>
      <c r="E43" s="241">
        <f>SUM(D43)/D38*100</f>
        <v>28.163449599277573</v>
      </c>
      <c r="F43" s="143">
        <v>4316</v>
      </c>
      <c r="G43" s="241">
        <f>SUM(F43)/F38*100</f>
        <v>28.569537300589133</v>
      </c>
    </row>
    <row r="44" spans="2:7" x14ac:dyDescent="0.25">
      <c r="B44" s="243" t="s">
        <v>188</v>
      </c>
      <c r="C44" s="246">
        <v>8</v>
      </c>
      <c r="D44" s="247">
        <f>SUM(D45:D47)</f>
        <v>4311</v>
      </c>
      <c r="E44" s="263">
        <f>SUM(D44)/D60*100</f>
        <v>6.1319412835685023</v>
      </c>
      <c r="F44" s="247">
        <f>SUM(F45:F47)</f>
        <v>3758</v>
      </c>
      <c r="G44" s="263">
        <f>SUM(F44)/F60*100</f>
        <v>6.2697075359949288</v>
      </c>
    </row>
    <row r="45" spans="2:7" x14ac:dyDescent="0.25">
      <c r="B45" s="217" t="s">
        <v>225</v>
      </c>
      <c r="C45" s="218">
        <v>81</v>
      </c>
      <c r="D45" s="143">
        <v>2181</v>
      </c>
      <c r="E45" s="241">
        <f>SUM(D45)/D44*100</f>
        <v>50.591510090466251</v>
      </c>
      <c r="F45" s="143">
        <v>1892</v>
      </c>
      <c r="G45" s="241">
        <f>SUM(F45)/F44*100</f>
        <v>50.345928685470994</v>
      </c>
    </row>
    <row r="46" spans="2:7" x14ac:dyDescent="0.25">
      <c r="B46" s="217" t="s">
        <v>226</v>
      </c>
      <c r="C46" s="218">
        <v>82</v>
      </c>
      <c r="D46" s="218">
        <v>452</v>
      </c>
      <c r="E46" s="241">
        <f>SUM(D46)/D44*100</f>
        <v>10.484806309440966</v>
      </c>
      <c r="F46" s="218">
        <v>386</v>
      </c>
      <c r="G46" s="241">
        <f>SUM(F46)/F44*100</f>
        <v>10.271420968600321</v>
      </c>
    </row>
    <row r="47" spans="2:7" x14ac:dyDescent="0.25">
      <c r="B47" s="217" t="s">
        <v>227</v>
      </c>
      <c r="C47" s="218">
        <v>83</v>
      </c>
      <c r="D47" s="143">
        <v>1678</v>
      </c>
      <c r="E47" s="241">
        <f>SUM(D47)/D44*100</f>
        <v>38.923683600092787</v>
      </c>
      <c r="F47" s="143">
        <v>1480</v>
      </c>
      <c r="G47" s="241">
        <f>SUM(F47)/F44*100</f>
        <v>39.382650345928688</v>
      </c>
    </row>
    <row r="48" spans="2:7" x14ac:dyDescent="0.25">
      <c r="B48" s="243" t="s">
        <v>189</v>
      </c>
      <c r="C48" s="246">
        <v>9</v>
      </c>
      <c r="D48" s="247">
        <f>SUM(D49:D54)</f>
        <v>6384</v>
      </c>
      <c r="E48" s="263">
        <f>SUM(D48)/D60*100</f>
        <v>9.0805644060081931</v>
      </c>
      <c r="F48" s="247">
        <f>SUM(F49:F54)</f>
        <v>5460</v>
      </c>
      <c r="G48" s="263">
        <f>SUM(F48)/F60*100</f>
        <v>9.1092610821001347</v>
      </c>
    </row>
    <row r="49" spans="2:7" x14ac:dyDescent="0.25">
      <c r="B49" s="217" t="s">
        <v>228</v>
      </c>
      <c r="C49" s="218">
        <v>91</v>
      </c>
      <c r="D49" s="143">
        <v>1189</v>
      </c>
      <c r="E49" s="241">
        <f>SUM(D49)/D48*100</f>
        <v>18.624686716791981</v>
      </c>
      <c r="F49" s="143">
        <v>1024</v>
      </c>
      <c r="G49" s="241">
        <f>SUM(F49)/F48*100</f>
        <v>18.754578754578755</v>
      </c>
    </row>
    <row r="50" spans="2:7" ht="30" x14ac:dyDescent="0.25">
      <c r="B50" s="217" t="s">
        <v>229</v>
      </c>
      <c r="C50" s="218">
        <v>92</v>
      </c>
      <c r="D50" s="218">
        <v>309</v>
      </c>
      <c r="E50" s="241">
        <f>SUM(D50)/D48*100</f>
        <v>4.8402255639097742</v>
      </c>
      <c r="F50" s="218">
        <v>287</v>
      </c>
      <c r="G50" s="241">
        <f>SUM(F50)/F48*100</f>
        <v>5.2564102564102564</v>
      </c>
    </row>
    <row r="51" spans="2:7" ht="30" x14ac:dyDescent="0.25">
      <c r="B51" s="217" t="s">
        <v>230</v>
      </c>
      <c r="C51" s="218">
        <v>93</v>
      </c>
      <c r="D51" s="143">
        <v>3553</v>
      </c>
      <c r="E51" s="241">
        <f>SUM(D51)/D48*100</f>
        <v>55.654761904761905</v>
      </c>
      <c r="F51" s="143">
        <v>2995</v>
      </c>
      <c r="G51" s="241">
        <f>SUM(F51)/F48*100</f>
        <v>54.853479853479861</v>
      </c>
    </row>
    <row r="52" spans="2:7" ht="30" x14ac:dyDescent="0.25">
      <c r="B52" s="217" t="s">
        <v>231</v>
      </c>
      <c r="C52" s="218">
        <v>94</v>
      </c>
      <c r="D52" s="218">
        <v>403</v>
      </c>
      <c r="E52" s="241">
        <f>SUM(D52)/D48*100</f>
        <v>6.3126566416040104</v>
      </c>
      <c r="F52" s="218">
        <v>385</v>
      </c>
      <c r="G52" s="241">
        <f>SUM(F52)/F48*100</f>
        <v>7.0512820512820511</v>
      </c>
    </row>
    <row r="53" spans="2:7" x14ac:dyDescent="0.25">
      <c r="B53" s="217" t="s">
        <v>232</v>
      </c>
      <c r="C53" s="218">
        <v>95</v>
      </c>
      <c r="D53" s="218">
        <v>15</v>
      </c>
      <c r="E53" s="241">
        <f>SUM(D53)/D48*100</f>
        <v>0.23496240601503759</v>
      </c>
      <c r="F53" s="218">
        <v>11</v>
      </c>
      <c r="G53" s="241">
        <f>SUM(F53)/F48*100</f>
        <v>0.2014652014652015</v>
      </c>
    </row>
    <row r="54" spans="2:7" x14ac:dyDescent="0.25">
      <c r="B54" s="217" t="s">
        <v>233</v>
      </c>
      <c r="C54" s="218">
        <v>96</v>
      </c>
      <c r="D54" s="143">
        <v>915</v>
      </c>
      <c r="E54" s="241">
        <f>SUM(D54)/D48*100</f>
        <v>14.332706766917294</v>
      </c>
      <c r="F54" s="143">
        <v>758</v>
      </c>
      <c r="G54" s="241">
        <f>SUM(F54)/F48*100</f>
        <v>13.882783882783883</v>
      </c>
    </row>
    <row r="55" spans="2:7" x14ac:dyDescent="0.25">
      <c r="B55" s="243" t="s">
        <v>196</v>
      </c>
      <c r="C55" s="246">
        <v>0</v>
      </c>
      <c r="D55" s="246">
        <f>SUM(D56:D58)</f>
        <v>36</v>
      </c>
      <c r="E55" s="432">
        <f>SUM(D55)/D60*100</f>
        <v>5.1206190259444694E-2</v>
      </c>
      <c r="F55" s="246">
        <f>SUM(F56:F58)</f>
        <v>26</v>
      </c>
      <c r="G55" s="432">
        <f>SUM(F55)/F60*100</f>
        <v>4.337743372428636E-2</v>
      </c>
    </row>
    <row r="56" spans="2:7" x14ac:dyDescent="0.25">
      <c r="B56" s="217" t="s">
        <v>234</v>
      </c>
      <c r="C56" s="218">
        <v>1</v>
      </c>
      <c r="D56" s="218">
        <v>0</v>
      </c>
      <c r="E56" s="241">
        <f>SUM(D56)/D55*100</f>
        <v>0</v>
      </c>
      <c r="F56" s="218">
        <v>0</v>
      </c>
      <c r="G56" s="241">
        <f>SUM(F56)/F55*100</f>
        <v>0</v>
      </c>
    </row>
    <row r="57" spans="2:7" x14ac:dyDescent="0.25">
      <c r="B57" s="217" t="s">
        <v>235</v>
      </c>
      <c r="C57" s="218">
        <v>2</v>
      </c>
      <c r="D57" s="218">
        <v>1</v>
      </c>
      <c r="E57" s="241">
        <f>SUM(D57)/D55*100</f>
        <v>2.7777777777777777</v>
      </c>
      <c r="F57" s="218">
        <v>1</v>
      </c>
      <c r="G57" s="241">
        <f>SUM(F57)/F55*100</f>
        <v>3.8461538461538463</v>
      </c>
    </row>
    <row r="58" spans="2:7" ht="15.75" thickBot="1" x14ac:dyDescent="0.3">
      <c r="B58" s="219" t="s">
        <v>236</v>
      </c>
      <c r="C58" s="214">
        <v>3</v>
      </c>
      <c r="D58" s="214">
        <v>35</v>
      </c>
      <c r="E58" s="264">
        <f>SUM(D58)/D55*100</f>
        <v>97.222222222222214</v>
      </c>
      <c r="F58" s="214">
        <v>25</v>
      </c>
      <c r="G58" s="264">
        <f>SUM(F58)/F55*100</f>
        <v>96.15384615384616</v>
      </c>
    </row>
    <row r="59" spans="2:7" x14ac:dyDescent="0.25">
      <c r="B59" s="248" t="s">
        <v>239</v>
      </c>
      <c r="C59" s="249" t="s">
        <v>175</v>
      </c>
      <c r="D59" s="250">
        <v>10640</v>
      </c>
      <c r="E59" s="262">
        <f>SUM(D59)/D61*100</f>
        <v>13.144890294524608</v>
      </c>
      <c r="F59" s="250">
        <v>9077</v>
      </c>
      <c r="G59" s="262">
        <f>SUM(F59)/F61*100</f>
        <v>13.152022719369421</v>
      </c>
    </row>
    <row r="60" spans="2:7" ht="15.75" thickBot="1" x14ac:dyDescent="0.3">
      <c r="B60" s="251" t="s">
        <v>197</v>
      </c>
      <c r="C60" s="252" t="s">
        <v>176</v>
      </c>
      <c r="D60" s="253">
        <f>SUM(D6,D11,D18,D24,D29,D34,D38,D44,D48,D55)</f>
        <v>70304</v>
      </c>
      <c r="E60" s="265">
        <f>SUM(E6,E11,E18,E24,E29,E34,E38,E44,E48,E55)</f>
        <v>100.00000000000001</v>
      </c>
      <c r="F60" s="253">
        <f>SUM(F6,F11,F18,F24,F29,F34,F38,F44,F48,F55)</f>
        <v>59939</v>
      </c>
      <c r="G60" s="265">
        <f>SUM(G6,G11,G18,G24,G29,G34,G38,G44,G48,G55)</f>
        <v>100</v>
      </c>
    </row>
    <row r="61" spans="2:7" ht="19.5" thickBot="1" x14ac:dyDescent="0.3">
      <c r="B61" s="254" t="s">
        <v>58</v>
      </c>
      <c r="C61" s="255" t="s">
        <v>177</v>
      </c>
      <c r="D61" s="256">
        <f>SUM(D59:D60)</f>
        <v>80944</v>
      </c>
      <c r="E61" s="257" t="s">
        <v>102</v>
      </c>
      <c r="F61" s="256">
        <f>SUM(F59:F60)</f>
        <v>69016</v>
      </c>
      <c r="G61" s="257" t="s">
        <v>102</v>
      </c>
    </row>
    <row r="62" spans="2:7" x14ac:dyDescent="0.25">
      <c r="B62" s="223" t="s">
        <v>515</v>
      </c>
      <c r="C62" s="223"/>
      <c r="D62" s="223"/>
      <c r="E62" s="223"/>
    </row>
    <row r="63" spans="2:7" ht="14.25" customHeight="1" x14ac:dyDescent="0.25">
      <c r="B63" s="11" t="s">
        <v>516</v>
      </c>
    </row>
    <row r="64" spans="2:7" ht="13.5" customHeight="1" x14ac:dyDescent="0.25">
      <c r="B64" s="11" t="s">
        <v>517</v>
      </c>
    </row>
    <row r="65" spans="4:7" x14ac:dyDescent="0.25">
      <c r="D65" s="502">
        <f>SUM(D6,D11,D18,D24,D29,D34,D38,D44,D48,D55,D59)</f>
        <v>80944</v>
      </c>
      <c r="F65" s="502">
        <f>SUM(F6,F11,F18,F24,F29,F34,F38,F44,F48,F55,F59)</f>
        <v>69016</v>
      </c>
    </row>
    <row r="66" spans="4:7" x14ac:dyDescent="0.25">
      <c r="E66" s="502"/>
      <c r="G66" s="502"/>
    </row>
  </sheetData>
  <printOptions horizontalCentered="1" verticalCentered="1"/>
  <pageMargins left="1.0236220472440944" right="0.31496062992125984" top="0.31496062992125984" bottom="0" header="0" footer="0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2:AA46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3.85546875" style="11" customWidth="1"/>
    <col min="2" max="2" width="26" style="11" customWidth="1"/>
    <col min="3" max="3" width="16.140625" style="11" customWidth="1"/>
    <col min="4" max="4" width="16" style="11" customWidth="1"/>
    <col min="5" max="5" width="16.28515625" style="11" customWidth="1"/>
    <col min="6" max="6" width="3.85546875" style="11" customWidth="1"/>
    <col min="7" max="7" width="11.42578125" style="11" bestFit="1" customWidth="1"/>
    <col min="8" max="8" width="9.5703125" style="11" customWidth="1"/>
    <col min="9" max="9" width="11.140625" style="11" customWidth="1"/>
    <col min="10" max="10" width="4.42578125" style="11" customWidth="1"/>
    <col min="11" max="11" width="9.85546875" style="11" customWidth="1"/>
    <col min="12" max="12" width="9.140625" style="11"/>
    <col min="13" max="13" width="10.5703125" style="11" customWidth="1"/>
    <col min="14" max="14" width="11.28515625" style="11" customWidth="1"/>
    <col min="15" max="15" width="11.85546875" style="11" customWidth="1"/>
    <col min="16" max="16" width="10.42578125" style="11" customWidth="1"/>
    <col min="17" max="16384" width="9.140625" style="11"/>
  </cols>
  <sheetData>
    <row r="2" spans="2:16" x14ac:dyDescent="0.25">
      <c r="B2" s="11" t="s">
        <v>435</v>
      </c>
    </row>
    <row r="3" spans="2:16" x14ac:dyDescent="0.25">
      <c r="B3" s="11" t="s">
        <v>379</v>
      </c>
    </row>
    <row r="4" spans="2:16" x14ac:dyDescent="0.25">
      <c r="B4" s="11" t="s">
        <v>378</v>
      </c>
    </row>
    <row r="5" spans="2:16" ht="11.25" customHeight="1" thickBot="1" x14ac:dyDescent="0.3"/>
    <row r="6" spans="2:16" ht="22.5" customHeight="1" thickBot="1" x14ac:dyDescent="0.3">
      <c r="B6" s="189"/>
      <c r="C6" s="239"/>
      <c r="D6" s="193" t="s">
        <v>518</v>
      </c>
      <c r="E6" s="240"/>
    </row>
    <row r="7" spans="2:16" ht="21.75" customHeight="1" thickBot="1" x14ac:dyDescent="0.3">
      <c r="B7" s="192" t="s">
        <v>21</v>
      </c>
      <c r="C7" s="103"/>
      <c r="D7" s="890" t="s">
        <v>57</v>
      </c>
      <c r="E7" s="892"/>
    </row>
    <row r="8" spans="2:16" ht="34.5" customHeight="1" thickBot="1" x14ac:dyDescent="0.3">
      <c r="B8" s="130"/>
      <c r="C8" s="191" t="s">
        <v>54</v>
      </c>
      <c r="D8" s="187" t="s">
        <v>55</v>
      </c>
      <c r="E8" s="188" t="s">
        <v>56</v>
      </c>
    </row>
    <row r="9" spans="2:16" ht="23.25" customHeight="1" thickBot="1" x14ac:dyDescent="0.3">
      <c r="B9" s="131" t="s">
        <v>22</v>
      </c>
      <c r="C9" s="151">
        <f>SUM(C10:C34)</f>
        <v>27664</v>
      </c>
      <c r="D9" s="132">
        <f>SUM(D10:D34)</f>
        <v>11166</v>
      </c>
      <c r="E9" s="152">
        <f>SUM(E10:E34)</f>
        <v>4110</v>
      </c>
      <c r="F9" s="379"/>
    </row>
    <row r="10" spans="2:16" ht="14.25" customHeight="1" x14ac:dyDescent="0.25">
      <c r="B10" s="59" t="s">
        <v>23</v>
      </c>
      <c r="C10" s="40">
        <v>299</v>
      </c>
      <c r="D10" s="36">
        <v>217</v>
      </c>
      <c r="E10" s="153">
        <v>64</v>
      </c>
      <c r="G10" s="501" t="s">
        <v>365</v>
      </c>
      <c r="H10" s="501" t="s">
        <v>366</v>
      </c>
      <c r="I10" s="501" t="s">
        <v>367</v>
      </c>
      <c r="J10" s="508"/>
      <c r="K10" s="501" t="s">
        <v>342</v>
      </c>
      <c r="L10" s="501" t="s">
        <v>400</v>
      </c>
      <c r="M10" s="501" t="s">
        <v>321</v>
      </c>
      <c r="N10" s="501" t="s">
        <v>399</v>
      </c>
      <c r="O10" s="501" t="s">
        <v>322</v>
      </c>
    </row>
    <row r="11" spans="2:16" x14ac:dyDescent="0.25">
      <c r="B11" s="12" t="s">
        <v>24</v>
      </c>
      <c r="C11" s="38">
        <v>462</v>
      </c>
      <c r="D11" s="13">
        <v>417</v>
      </c>
      <c r="E11" s="15">
        <v>142</v>
      </c>
      <c r="G11" s="102">
        <v>1998</v>
      </c>
      <c r="H11" s="509" t="s">
        <v>102</v>
      </c>
      <c r="I11" s="509" t="s">
        <v>102</v>
      </c>
      <c r="J11" s="27"/>
      <c r="K11" s="14" t="s">
        <v>343</v>
      </c>
      <c r="L11" s="509" t="s">
        <v>102</v>
      </c>
      <c r="M11" s="509" t="s">
        <v>102</v>
      </c>
      <c r="N11" s="509" t="s">
        <v>102</v>
      </c>
      <c r="O11" s="509" t="s">
        <v>102</v>
      </c>
      <c r="P11" s="532" t="s">
        <v>102</v>
      </c>
    </row>
    <row r="12" spans="2:16" ht="14.25" customHeight="1" x14ac:dyDescent="0.25">
      <c r="B12" s="12" t="s">
        <v>25</v>
      </c>
      <c r="C12" s="38">
        <v>2304</v>
      </c>
      <c r="D12" s="13">
        <v>379</v>
      </c>
      <c r="E12" s="15">
        <v>124</v>
      </c>
      <c r="G12" s="102">
        <v>1999</v>
      </c>
      <c r="H12" s="14">
        <v>38322</v>
      </c>
      <c r="I12" s="531">
        <v>14842</v>
      </c>
      <c r="J12" s="27"/>
      <c r="K12" s="14" t="s">
        <v>344</v>
      </c>
      <c r="L12" s="14">
        <v>19411</v>
      </c>
      <c r="M12" s="509" t="s">
        <v>395</v>
      </c>
      <c r="N12" s="531"/>
      <c r="O12" s="14">
        <f t="shared" ref="O12:O31" si="0">SUM(I12-N12)</f>
        <v>14842</v>
      </c>
      <c r="P12" s="379">
        <f>SUM(N12/L12*100)</f>
        <v>0</v>
      </c>
    </row>
    <row r="13" spans="2:16" ht="18" customHeight="1" x14ac:dyDescent="0.25">
      <c r="B13" s="12" t="s">
        <v>26</v>
      </c>
      <c r="C13" s="38">
        <v>1472</v>
      </c>
      <c r="D13" s="13">
        <v>921</v>
      </c>
      <c r="E13" s="15">
        <v>274</v>
      </c>
      <c r="G13" s="102">
        <v>2000</v>
      </c>
      <c r="H13" s="14">
        <v>31625</v>
      </c>
      <c r="I13" s="14">
        <v>14996</v>
      </c>
      <c r="J13" s="27"/>
      <c r="K13" s="14" t="s">
        <v>345</v>
      </c>
      <c r="L13" s="14">
        <v>16479</v>
      </c>
      <c r="M13" s="498">
        <f>SUM(L13-L12)/L12*100</f>
        <v>-15.104837463294007</v>
      </c>
      <c r="N13" s="531"/>
      <c r="O13" s="14">
        <f t="shared" si="0"/>
        <v>14996</v>
      </c>
      <c r="P13" s="379">
        <f t="shared" ref="P13:P29" si="1">SUM(N13/L13*100)</f>
        <v>0</v>
      </c>
    </row>
    <row r="14" spans="2:16" x14ac:dyDescent="0.25">
      <c r="B14" s="12" t="s">
        <v>27</v>
      </c>
      <c r="C14" s="38">
        <v>1276</v>
      </c>
      <c r="D14" s="13">
        <v>674</v>
      </c>
      <c r="E14" s="15">
        <v>198</v>
      </c>
      <c r="G14" s="102">
        <v>2001</v>
      </c>
      <c r="H14" s="14">
        <v>25129</v>
      </c>
      <c r="I14" s="14">
        <v>8521</v>
      </c>
      <c r="J14" s="530" t="s">
        <v>394</v>
      </c>
      <c r="K14" s="14" t="s">
        <v>346</v>
      </c>
      <c r="L14" s="528">
        <v>12461</v>
      </c>
      <c r="M14" s="498">
        <f>SUM(L14-L12)/L12*100</f>
        <v>-35.804440781000466</v>
      </c>
      <c r="N14" s="14">
        <v>4362</v>
      </c>
      <c r="O14" s="14">
        <f t="shared" si="0"/>
        <v>4159</v>
      </c>
      <c r="P14" s="379">
        <f t="shared" si="1"/>
        <v>35.005216274777304</v>
      </c>
    </row>
    <row r="15" spans="2:16" x14ac:dyDescent="0.25">
      <c r="B15" s="12" t="s">
        <v>28</v>
      </c>
      <c r="C15" s="38">
        <v>709</v>
      </c>
      <c r="D15" s="13">
        <v>319</v>
      </c>
      <c r="E15" s="15">
        <v>75</v>
      </c>
      <c r="G15" s="102">
        <v>2002</v>
      </c>
      <c r="H15" s="14">
        <v>28470</v>
      </c>
      <c r="I15" s="14">
        <v>12944</v>
      </c>
      <c r="J15" s="27"/>
      <c r="K15" s="14" t="s">
        <v>347</v>
      </c>
      <c r="L15" s="14">
        <v>12658</v>
      </c>
      <c r="M15" s="498">
        <f>SUM(L15-L12)/L12*100</f>
        <v>-34.789552315697286</v>
      </c>
      <c r="N15" s="14">
        <v>4639</v>
      </c>
      <c r="O15" s="14">
        <f t="shared" si="0"/>
        <v>8305</v>
      </c>
      <c r="P15" s="379">
        <f t="shared" si="1"/>
        <v>36.6487596776742</v>
      </c>
    </row>
    <row r="16" spans="2:16" ht="15.75" customHeight="1" x14ac:dyDescent="0.25">
      <c r="B16" s="12" t="s">
        <v>29</v>
      </c>
      <c r="C16" s="38">
        <v>530</v>
      </c>
      <c r="D16" s="13">
        <v>221</v>
      </c>
      <c r="E16" s="15">
        <v>58</v>
      </c>
      <c r="G16" s="102">
        <v>2003</v>
      </c>
      <c r="H16" s="14">
        <v>39334</v>
      </c>
      <c r="I16" s="14">
        <v>22556</v>
      </c>
      <c r="J16" s="27"/>
      <c r="K16" s="14" t="s">
        <v>348</v>
      </c>
      <c r="L16" s="14">
        <v>19490</v>
      </c>
      <c r="M16" s="498">
        <f>SUM(L16-L12)/L12*100</f>
        <v>0.40698572974086861</v>
      </c>
      <c r="N16" s="14">
        <v>11201</v>
      </c>
      <c r="O16" s="14">
        <f t="shared" si="0"/>
        <v>11355</v>
      </c>
      <c r="P16" s="379">
        <f t="shared" si="1"/>
        <v>57.470497691123654</v>
      </c>
    </row>
    <row r="17" spans="2:16" x14ac:dyDescent="0.25">
      <c r="B17" s="12" t="s">
        <v>30</v>
      </c>
      <c r="C17" s="38">
        <v>312</v>
      </c>
      <c r="D17" s="13">
        <v>147</v>
      </c>
      <c r="E17" s="15">
        <v>42</v>
      </c>
      <c r="G17" s="102">
        <v>2004</v>
      </c>
      <c r="H17" s="14">
        <v>40346</v>
      </c>
      <c r="I17" s="14">
        <v>20038</v>
      </c>
      <c r="J17" s="27"/>
      <c r="K17" s="14" t="s">
        <v>349</v>
      </c>
      <c r="L17" s="14">
        <v>21329</v>
      </c>
      <c r="M17" s="498">
        <f>SUM(L17-L12)/L12*100</f>
        <v>9.8809953119365321</v>
      </c>
      <c r="N17" s="531"/>
      <c r="O17" s="14">
        <f t="shared" si="0"/>
        <v>20038</v>
      </c>
      <c r="P17" s="379">
        <f t="shared" si="1"/>
        <v>0</v>
      </c>
    </row>
    <row r="18" spans="2:16" x14ac:dyDescent="0.25">
      <c r="B18" s="12" t="s">
        <v>31</v>
      </c>
      <c r="C18" s="38">
        <v>1024</v>
      </c>
      <c r="D18" s="13">
        <v>429</v>
      </c>
      <c r="E18" s="15">
        <v>119</v>
      </c>
      <c r="G18" s="102">
        <v>2005</v>
      </c>
      <c r="H18" s="14">
        <v>41016</v>
      </c>
      <c r="I18" s="14">
        <v>18757</v>
      </c>
      <c r="J18" s="27"/>
      <c r="K18" s="14" t="s">
        <v>350</v>
      </c>
      <c r="L18" s="14">
        <v>21427</v>
      </c>
      <c r="M18" s="498">
        <f>SUM(L18-L12)/L12*100</f>
        <v>10.385863685539128</v>
      </c>
      <c r="N18" s="14">
        <v>10813</v>
      </c>
      <c r="O18" s="14">
        <f>SUM(I18-N18)</f>
        <v>7944</v>
      </c>
      <c r="P18" s="379">
        <f t="shared" si="1"/>
        <v>50.46436738694171</v>
      </c>
    </row>
    <row r="19" spans="2:16" x14ac:dyDescent="0.25">
      <c r="B19" s="12" t="s">
        <v>32</v>
      </c>
      <c r="C19" s="38">
        <v>587</v>
      </c>
      <c r="D19" s="13">
        <v>404</v>
      </c>
      <c r="E19" s="15">
        <v>148</v>
      </c>
      <c r="G19" s="102">
        <v>2006</v>
      </c>
      <c r="H19" s="14">
        <v>48932</v>
      </c>
      <c r="I19" s="14">
        <v>20054</v>
      </c>
      <c r="J19" s="27"/>
      <c r="K19" s="14" t="s">
        <v>351</v>
      </c>
      <c r="L19" s="14">
        <v>25517</v>
      </c>
      <c r="M19" s="498">
        <f>SUM(L19-L12)/L12*100</f>
        <v>31.456390706300553</v>
      </c>
      <c r="N19" s="14">
        <v>9779</v>
      </c>
      <c r="O19" s="14">
        <f t="shared" si="0"/>
        <v>10275</v>
      </c>
      <c r="P19" s="379">
        <f t="shared" si="1"/>
        <v>38.323470627424854</v>
      </c>
    </row>
    <row r="20" spans="2:16" x14ac:dyDescent="0.25">
      <c r="B20" s="12" t="s">
        <v>33</v>
      </c>
      <c r="C20" s="38">
        <v>748</v>
      </c>
      <c r="D20" s="13">
        <v>453</v>
      </c>
      <c r="E20" s="15">
        <v>192</v>
      </c>
      <c r="G20" s="102">
        <v>2007</v>
      </c>
      <c r="H20" s="14">
        <v>49327</v>
      </c>
      <c r="I20" s="14">
        <v>24494</v>
      </c>
      <c r="J20" s="27"/>
      <c r="K20" s="14" t="s">
        <v>352</v>
      </c>
      <c r="L20" s="14">
        <v>27392</v>
      </c>
      <c r="M20" s="498">
        <f>SUM(L20-L12)/L12*100</f>
        <v>41.115862140023694</v>
      </c>
      <c r="N20" s="14">
        <v>14414</v>
      </c>
      <c r="O20" s="14">
        <f t="shared" si="0"/>
        <v>10080</v>
      </c>
      <c r="P20" s="379">
        <f t="shared" si="1"/>
        <v>52.621203271028037</v>
      </c>
    </row>
    <row r="21" spans="2:16" x14ac:dyDescent="0.25">
      <c r="B21" s="12" t="s">
        <v>34</v>
      </c>
      <c r="C21" s="38">
        <v>2908</v>
      </c>
      <c r="D21" s="13">
        <v>880</v>
      </c>
      <c r="E21" s="15">
        <v>178</v>
      </c>
      <c r="G21" s="102">
        <v>2008</v>
      </c>
      <c r="H21" s="14">
        <v>51046</v>
      </c>
      <c r="I21" s="14">
        <v>28458</v>
      </c>
      <c r="J21" s="27"/>
      <c r="K21" s="14" t="s">
        <v>353</v>
      </c>
      <c r="L21" s="14">
        <v>28169</v>
      </c>
      <c r="M21" s="498">
        <f>SUM(L21-L12)/L12*100</f>
        <v>45.118747102158565</v>
      </c>
      <c r="N21" s="14">
        <v>15639</v>
      </c>
      <c r="O21" s="14">
        <f t="shared" si="0"/>
        <v>12819</v>
      </c>
      <c r="P21" s="379">
        <f t="shared" si="1"/>
        <v>55.518477759238884</v>
      </c>
    </row>
    <row r="22" spans="2:16" x14ac:dyDescent="0.25">
      <c r="B22" s="12" t="s">
        <v>35</v>
      </c>
      <c r="C22" s="38">
        <v>760</v>
      </c>
      <c r="D22" s="13">
        <v>569</v>
      </c>
      <c r="E22" s="15">
        <v>199</v>
      </c>
      <c r="G22" s="102">
        <v>2009</v>
      </c>
      <c r="H22" s="14">
        <v>47263</v>
      </c>
      <c r="I22" s="14">
        <v>28957</v>
      </c>
      <c r="J22" s="27"/>
      <c r="K22" s="14" t="s">
        <v>354</v>
      </c>
      <c r="L22" s="14">
        <v>25139</v>
      </c>
      <c r="M22" s="498">
        <f>SUM(L22-L12)/L12*100</f>
        <v>29.509041265261963</v>
      </c>
      <c r="N22" s="14">
        <v>16435</v>
      </c>
      <c r="O22" s="14">
        <f t="shared" si="0"/>
        <v>12522</v>
      </c>
      <c r="P22" s="379">
        <f t="shared" si="1"/>
        <v>65.376506623175146</v>
      </c>
    </row>
    <row r="23" spans="2:16" x14ac:dyDescent="0.25">
      <c r="B23" s="18" t="s">
        <v>36</v>
      </c>
      <c r="C23" s="237">
        <v>355</v>
      </c>
      <c r="D23" s="117">
        <v>279</v>
      </c>
      <c r="E23" s="15">
        <v>177</v>
      </c>
      <c r="G23" s="102">
        <v>2010</v>
      </c>
      <c r="H23" s="14">
        <v>57481</v>
      </c>
      <c r="I23" s="14">
        <v>35663</v>
      </c>
      <c r="J23" s="27"/>
      <c r="K23" s="14" t="s">
        <v>355</v>
      </c>
      <c r="L23" s="14">
        <v>30966</v>
      </c>
      <c r="M23" s="498">
        <f>SUM(L23-L12)/L12*100</f>
        <v>59.528102622224509</v>
      </c>
      <c r="N23" s="14">
        <v>21368</v>
      </c>
      <c r="O23" s="14">
        <f t="shared" si="0"/>
        <v>14295</v>
      </c>
      <c r="P23" s="379">
        <f t="shared" si="1"/>
        <v>69.004714848543571</v>
      </c>
    </row>
    <row r="24" spans="2:16" x14ac:dyDescent="0.25">
      <c r="B24" s="18" t="s">
        <v>37</v>
      </c>
      <c r="C24" s="237">
        <v>1452</v>
      </c>
      <c r="D24" s="117">
        <v>850</v>
      </c>
      <c r="E24" s="15">
        <v>411</v>
      </c>
      <c r="G24" s="102">
        <v>2011</v>
      </c>
      <c r="H24" s="14">
        <v>42554</v>
      </c>
      <c r="I24" s="14">
        <v>16768</v>
      </c>
      <c r="J24" s="27"/>
      <c r="K24" s="14" t="s">
        <v>356</v>
      </c>
      <c r="L24" s="14">
        <v>24104</v>
      </c>
      <c r="M24" s="498">
        <f>SUM(L24-L12)/L12*100</f>
        <v>24.177013033846791</v>
      </c>
      <c r="N24" s="14">
        <v>10464</v>
      </c>
      <c r="O24" s="14">
        <f t="shared" si="0"/>
        <v>6304</v>
      </c>
      <c r="P24" s="379">
        <f t="shared" si="1"/>
        <v>43.411881845336872</v>
      </c>
    </row>
    <row r="25" spans="2:16" x14ac:dyDescent="0.25">
      <c r="B25" s="18" t="s">
        <v>38</v>
      </c>
      <c r="C25" s="237">
        <v>911</v>
      </c>
      <c r="D25" s="117">
        <v>450</v>
      </c>
      <c r="E25" s="15">
        <v>148</v>
      </c>
      <c r="G25" s="102">
        <v>2012</v>
      </c>
      <c r="H25" s="14">
        <v>48689</v>
      </c>
      <c r="I25" s="14">
        <v>25146</v>
      </c>
      <c r="J25" s="27"/>
      <c r="K25" s="14" t="s">
        <v>357</v>
      </c>
      <c r="L25" s="528">
        <v>24066</v>
      </c>
      <c r="M25" s="498">
        <f>SUM(L25-L12)/L12*100</f>
        <v>23.981247746123334</v>
      </c>
      <c r="N25" s="14">
        <v>12684</v>
      </c>
      <c r="O25" s="14">
        <f t="shared" si="0"/>
        <v>12462</v>
      </c>
      <c r="P25" s="379">
        <f t="shared" si="1"/>
        <v>52.705061082024429</v>
      </c>
    </row>
    <row r="26" spans="2:16" x14ac:dyDescent="0.25">
      <c r="B26" s="18" t="s">
        <v>39</v>
      </c>
      <c r="C26" s="237">
        <v>1222</v>
      </c>
      <c r="D26" s="117">
        <v>386</v>
      </c>
      <c r="E26" s="15">
        <v>167</v>
      </c>
      <c r="G26" s="102">
        <v>2013</v>
      </c>
      <c r="H26" s="14">
        <v>54304</v>
      </c>
      <c r="I26" s="14">
        <v>26050</v>
      </c>
      <c r="J26" s="27"/>
      <c r="K26" s="14" t="s">
        <v>358</v>
      </c>
      <c r="L26" s="14">
        <v>31113</v>
      </c>
      <c r="M26" s="449">
        <f>SUM(L26-L12)/L12*100</f>
        <v>60.285405182628402</v>
      </c>
      <c r="N26" s="14">
        <v>17521</v>
      </c>
      <c r="O26" s="14">
        <f t="shared" si="0"/>
        <v>8529</v>
      </c>
      <c r="P26" s="379">
        <f t="shared" si="1"/>
        <v>56.314080930800628</v>
      </c>
    </row>
    <row r="27" spans="2:16" x14ac:dyDescent="0.25">
      <c r="B27" s="18" t="s">
        <v>40</v>
      </c>
      <c r="C27" s="237">
        <v>601</v>
      </c>
      <c r="D27" s="117">
        <v>294</v>
      </c>
      <c r="E27" s="15">
        <v>86</v>
      </c>
      <c r="G27" s="102">
        <v>2014</v>
      </c>
      <c r="H27" s="14">
        <v>60555</v>
      </c>
      <c r="I27" s="14">
        <v>27292</v>
      </c>
      <c r="J27" s="27"/>
      <c r="K27" s="14" t="s">
        <v>359</v>
      </c>
      <c r="L27" s="14">
        <v>31924</v>
      </c>
      <c r="M27" s="449">
        <f>SUM(L27-L12)/L12*100</f>
        <v>64.46344856009479</v>
      </c>
      <c r="N27" s="14">
        <v>16121</v>
      </c>
      <c r="O27" s="14">
        <f t="shared" si="0"/>
        <v>11171</v>
      </c>
      <c r="P27" s="379">
        <f t="shared" si="1"/>
        <v>50.498057887482773</v>
      </c>
    </row>
    <row r="28" spans="2:16" x14ac:dyDescent="0.25">
      <c r="B28" s="18" t="s">
        <v>41</v>
      </c>
      <c r="C28" s="237">
        <v>1255</v>
      </c>
      <c r="D28" s="117">
        <v>443</v>
      </c>
      <c r="E28" s="15">
        <v>145</v>
      </c>
      <c r="G28" s="102">
        <v>2015</v>
      </c>
      <c r="H28" s="14">
        <v>61276</v>
      </c>
      <c r="I28" s="14">
        <v>28848</v>
      </c>
      <c r="J28" s="27"/>
      <c r="K28" s="14" t="s">
        <v>360</v>
      </c>
      <c r="L28" s="14">
        <v>33364</v>
      </c>
      <c r="M28" s="449">
        <f>SUM(L28-L12)/L12*100</f>
        <v>71.881922621194178</v>
      </c>
      <c r="N28" s="14">
        <v>16952</v>
      </c>
      <c r="O28" s="14">
        <f t="shared" si="0"/>
        <v>11896</v>
      </c>
      <c r="P28" s="379">
        <f t="shared" si="1"/>
        <v>50.809255484953844</v>
      </c>
    </row>
    <row r="29" spans="2:16" x14ac:dyDescent="0.25">
      <c r="B29" s="18" t="s">
        <v>42</v>
      </c>
      <c r="C29" s="237">
        <v>982</v>
      </c>
      <c r="D29" s="117">
        <v>622</v>
      </c>
      <c r="E29" s="15">
        <v>226</v>
      </c>
      <c r="G29" s="102">
        <v>2016</v>
      </c>
      <c r="H29" s="14">
        <v>72410</v>
      </c>
      <c r="I29" s="528">
        <v>31407</v>
      </c>
      <c r="J29" s="27"/>
      <c r="K29" s="14" t="s">
        <v>361</v>
      </c>
      <c r="L29" s="14">
        <v>38617</v>
      </c>
      <c r="M29" s="449">
        <f>SUM(L29-L12)/L12*100</f>
        <v>98.943897789912938</v>
      </c>
      <c r="N29" s="14">
        <v>19558</v>
      </c>
      <c r="O29" s="14">
        <f t="shared" si="0"/>
        <v>11849</v>
      </c>
      <c r="P29" s="379">
        <f t="shared" si="1"/>
        <v>50.646088510241604</v>
      </c>
    </row>
    <row r="30" spans="2:16" x14ac:dyDescent="0.25">
      <c r="B30" s="18" t="s">
        <v>43</v>
      </c>
      <c r="C30" s="237">
        <v>986</v>
      </c>
      <c r="D30" s="117">
        <v>284</v>
      </c>
      <c r="E30" s="15">
        <v>193</v>
      </c>
      <c r="G30" s="102">
        <v>2017</v>
      </c>
      <c r="H30" s="528">
        <v>75836</v>
      </c>
      <c r="I30" s="14">
        <v>30828</v>
      </c>
      <c r="J30" s="27"/>
      <c r="K30" s="14" t="s">
        <v>362</v>
      </c>
      <c r="L30" s="672">
        <v>41480</v>
      </c>
      <c r="M30" s="449">
        <f>SUM(L30-L12)/L12*100</f>
        <v>113.69326670444593</v>
      </c>
      <c r="N30" s="14">
        <v>17945</v>
      </c>
      <c r="O30" s="14">
        <f t="shared" si="0"/>
        <v>12883</v>
      </c>
      <c r="P30" s="379">
        <f t="shared" ref="P30:P34" si="2">SUM(N30/L30*100)</f>
        <v>43.261812921890069</v>
      </c>
    </row>
    <row r="31" spans="2:16" x14ac:dyDescent="0.25">
      <c r="B31" s="18" t="s">
        <v>44</v>
      </c>
      <c r="C31" s="237">
        <v>548</v>
      </c>
      <c r="D31" s="117">
        <v>229</v>
      </c>
      <c r="E31" s="15">
        <v>73</v>
      </c>
      <c r="G31" s="102">
        <v>2018</v>
      </c>
      <c r="H31" s="14">
        <v>61438</v>
      </c>
      <c r="I31" s="14">
        <v>20784</v>
      </c>
      <c r="J31" s="27"/>
      <c r="K31" s="14" t="s">
        <v>363</v>
      </c>
      <c r="L31" s="14">
        <v>34404</v>
      </c>
      <c r="M31" s="449">
        <f>SUM(L31-L12)/L12*100</f>
        <v>77.239709443099272</v>
      </c>
      <c r="N31" s="14">
        <v>12024</v>
      </c>
      <c r="O31" s="14">
        <f t="shared" si="0"/>
        <v>8760</v>
      </c>
      <c r="P31" s="379">
        <f t="shared" si="2"/>
        <v>34.949424485524936</v>
      </c>
    </row>
    <row r="32" spans="2:16" x14ac:dyDescent="0.25">
      <c r="B32" s="18" t="s">
        <v>45</v>
      </c>
      <c r="C32" s="237">
        <v>699</v>
      </c>
      <c r="D32" s="117">
        <v>378</v>
      </c>
      <c r="E32" s="15">
        <v>169</v>
      </c>
      <c r="G32" s="102">
        <v>2019</v>
      </c>
      <c r="H32" s="509">
        <v>53791</v>
      </c>
      <c r="I32" s="509">
        <v>20491</v>
      </c>
      <c r="J32" s="507"/>
      <c r="K32" s="14" t="s">
        <v>364</v>
      </c>
      <c r="L32" s="14">
        <v>31188</v>
      </c>
      <c r="M32" s="449">
        <f>SUM(L32-L12)/L12*100</f>
        <v>60.671784039977325</v>
      </c>
      <c r="N32" s="14">
        <v>12447</v>
      </c>
      <c r="O32" s="14">
        <f>SUM(I32-N32)</f>
        <v>8044</v>
      </c>
      <c r="P32" s="379">
        <f t="shared" si="2"/>
        <v>39.909580607926124</v>
      </c>
    </row>
    <row r="33" spans="2:27" x14ac:dyDescent="0.25">
      <c r="B33" s="18" t="s">
        <v>46</v>
      </c>
      <c r="C33" s="237">
        <v>4452</v>
      </c>
      <c r="D33" s="117">
        <v>634</v>
      </c>
      <c r="E33" s="15">
        <v>364</v>
      </c>
      <c r="G33" s="102">
        <v>2020</v>
      </c>
      <c r="H33" s="14">
        <v>37090</v>
      </c>
      <c r="I33" s="14">
        <v>14301</v>
      </c>
      <c r="K33" s="102" t="s">
        <v>408</v>
      </c>
      <c r="L33" s="528">
        <v>15976</v>
      </c>
      <c r="M33" s="449">
        <f>SUM(L33-L12)/L12*100</f>
        <v>-17.696151666580807</v>
      </c>
      <c r="N33" s="14">
        <v>6536</v>
      </c>
      <c r="O33" s="14">
        <f>SUM(I33-N33)</f>
        <v>7765</v>
      </c>
      <c r="P33" s="379">
        <f t="shared" si="2"/>
        <v>40.911367050575862</v>
      </c>
    </row>
    <row r="34" spans="2:27" ht="15.75" thickBot="1" x14ac:dyDescent="0.3">
      <c r="B34" s="19" t="s">
        <v>47</v>
      </c>
      <c r="C34" s="238">
        <v>810</v>
      </c>
      <c r="D34" s="119">
        <v>287</v>
      </c>
      <c r="E34" s="22">
        <v>138</v>
      </c>
      <c r="G34" s="102">
        <v>2021</v>
      </c>
      <c r="H34" s="14">
        <v>50760</v>
      </c>
      <c r="I34" s="14">
        <v>17820</v>
      </c>
      <c r="K34" s="102" t="s">
        <v>423</v>
      </c>
      <c r="L34" s="14">
        <v>24927</v>
      </c>
      <c r="M34" s="449">
        <f>SUM(L34-L12)/L12*100</f>
        <v>28.416877028489001</v>
      </c>
      <c r="N34" s="14">
        <v>9903</v>
      </c>
      <c r="O34" s="14">
        <f>SUM(I34-N34)</f>
        <v>7917</v>
      </c>
      <c r="P34" s="379">
        <f t="shared" si="2"/>
        <v>39.728005776868457</v>
      </c>
    </row>
    <row r="35" spans="2:27" x14ac:dyDescent="0.25">
      <c r="C35" s="502">
        <f>SUM(C10:C34)</f>
        <v>27664</v>
      </c>
      <c r="D35" s="379">
        <f>SUM(D9/C9)*100</f>
        <v>40.362926547137072</v>
      </c>
      <c r="E35" s="379">
        <f>SUM(E9/C9*100)</f>
        <v>14.856853672643147</v>
      </c>
      <c r="G35" s="102">
        <v>2022</v>
      </c>
      <c r="H35" s="638"/>
      <c r="I35" s="638"/>
      <c r="K35" s="102" t="s">
        <v>519</v>
      </c>
      <c r="L35" s="102">
        <v>27664</v>
      </c>
      <c r="M35" s="16">
        <f>SUM(L35-L12)/L12*100</f>
        <v>42.517129462675804</v>
      </c>
      <c r="N35" s="102">
        <v>11166</v>
      </c>
      <c r="O35" s="14">
        <f>SUM(I35-N35)</f>
        <v>-11166</v>
      </c>
      <c r="P35" s="379">
        <f>SUM(N35/L35*100)</f>
        <v>40.362926547137072</v>
      </c>
    </row>
    <row r="36" spans="2:27" x14ac:dyDescent="0.25">
      <c r="G36" s="11" t="s">
        <v>396</v>
      </c>
      <c r="L36" s="502">
        <f>SUM(L35-L33)</f>
        <v>11688</v>
      </c>
      <c r="N36" s="379">
        <f>SUM(N34)/L34*100</f>
        <v>39.728005776868457</v>
      </c>
    </row>
    <row r="37" spans="2:27" x14ac:dyDescent="0.25">
      <c r="L37" s="502">
        <f>SUM(L35-L34)</f>
        <v>2737</v>
      </c>
    </row>
    <row r="41" spans="2:27" x14ac:dyDescent="0.25">
      <c r="AA41" s="11" t="s">
        <v>397</v>
      </c>
    </row>
    <row r="42" spans="2:27" x14ac:dyDescent="0.25">
      <c r="AA42" s="148">
        <v>2003</v>
      </c>
    </row>
    <row r="43" spans="2:27" x14ac:dyDescent="0.25">
      <c r="AA43" s="148">
        <v>2006</v>
      </c>
    </row>
    <row r="44" spans="2:27" x14ac:dyDescent="0.25">
      <c r="AA44" s="148">
        <v>2008</v>
      </c>
    </row>
    <row r="45" spans="2:27" x14ac:dyDescent="0.25">
      <c r="AA45" s="148">
        <v>2010</v>
      </c>
    </row>
    <row r="46" spans="2:27" x14ac:dyDescent="0.25">
      <c r="AA46" s="148" t="s">
        <v>398</v>
      </c>
    </row>
  </sheetData>
  <mergeCells count="1">
    <mergeCell ref="D7:E7"/>
  </mergeCells>
  <printOptions horizontalCentered="1"/>
  <pageMargins left="0.70866141732283472" right="0.70866141732283472" top="1.7716535433070868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O33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22.140625" style="11" customWidth="1"/>
    <col min="3" max="3" width="9" style="11" customWidth="1"/>
    <col min="4" max="5" width="9.42578125" style="11" customWidth="1"/>
    <col min="6" max="6" width="13.140625" style="11" customWidth="1"/>
    <col min="7" max="7" width="13" style="11" customWidth="1"/>
    <col min="8" max="8" width="8.7109375" style="11" customWidth="1"/>
    <col min="9" max="9" width="9.85546875" style="11" customWidth="1"/>
    <col min="10" max="10" width="9.42578125" style="11" customWidth="1"/>
    <col min="11" max="11" width="13.42578125" style="11" customWidth="1"/>
    <col min="12" max="12" width="13.5703125" style="11" customWidth="1"/>
    <col min="13" max="13" width="2.5703125" style="11" customWidth="1"/>
    <col min="14" max="14" width="11.140625" style="11" customWidth="1"/>
    <col min="15" max="15" width="11.28515625" style="11" customWidth="1"/>
    <col min="16" max="16384" width="9.140625" style="11"/>
  </cols>
  <sheetData>
    <row r="1" spans="2:15" ht="12.75" customHeight="1" x14ac:dyDescent="0.25"/>
    <row r="2" spans="2:15" x14ac:dyDescent="0.25">
      <c r="B2" s="11" t="s">
        <v>262</v>
      </c>
    </row>
    <row r="3" spans="2:15" x14ac:dyDescent="0.25">
      <c r="B3" s="11" t="s">
        <v>485</v>
      </c>
    </row>
    <row r="4" spans="2:15" ht="9" customHeight="1" thickBot="1" x14ac:dyDescent="0.3"/>
    <row r="5" spans="2:15" ht="33.75" customHeight="1" thickBot="1" x14ac:dyDescent="0.3">
      <c r="B5" s="893" t="s">
        <v>122</v>
      </c>
      <c r="C5" s="891" t="s">
        <v>124</v>
      </c>
      <c r="D5" s="891"/>
      <c r="E5" s="891"/>
      <c r="F5" s="891"/>
      <c r="G5" s="892"/>
      <c r="H5" s="890" t="s">
        <v>125</v>
      </c>
      <c r="I5" s="891"/>
      <c r="J5" s="891"/>
      <c r="K5" s="891"/>
      <c r="L5" s="892"/>
    </row>
    <row r="6" spans="2:15" ht="59.25" customHeight="1" thickBot="1" x14ac:dyDescent="0.3">
      <c r="B6" s="894"/>
      <c r="C6" s="602" t="s">
        <v>412</v>
      </c>
      <c r="D6" s="497" t="s">
        <v>473</v>
      </c>
      <c r="E6" s="615" t="s">
        <v>474</v>
      </c>
      <c r="F6" s="495" t="s">
        <v>475</v>
      </c>
      <c r="G6" s="571" t="s">
        <v>476</v>
      </c>
      <c r="H6" s="600" t="s">
        <v>477</v>
      </c>
      <c r="I6" s="497" t="s">
        <v>478</v>
      </c>
      <c r="J6" s="615" t="s">
        <v>474</v>
      </c>
      <c r="K6" s="495" t="s">
        <v>479</v>
      </c>
      <c r="L6" s="571" t="s">
        <v>480</v>
      </c>
      <c r="N6" s="514" t="s">
        <v>385</v>
      </c>
      <c r="O6" s="514" t="s">
        <v>384</v>
      </c>
    </row>
    <row r="7" spans="2:15" ht="24.75" customHeight="1" thickBot="1" x14ac:dyDescent="0.3">
      <c r="B7" s="606" t="s">
        <v>22</v>
      </c>
      <c r="C7" s="607">
        <f>SUM(C8:C32)</f>
        <v>80944</v>
      </c>
      <c r="D7" s="608">
        <f>SUM(D8:D32)</f>
        <v>77291</v>
      </c>
      <c r="E7" s="609">
        <f>SUM(E8:E32)</f>
        <v>69016</v>
      </c>
      <c r="F7" s="608">
        <f>SUM(E7-D7)</f>
        <v>-8275</v>
      </c>
      <c r="G7" s="610">
        <f t="shared" ref="G7:G32" si="0">SUM(E7-C7)</f>
        <v>-11928</v>
      </c>
      <c r="H7" s="611">
        <v>8.5</v>
      </c>
      <c r="I7" s="612">
        <v>8.1999999999999993</v>
      </c>
      <c r="J7" s="613">
        <v>7.3</v>
      </c>
      <c r="K7" s="612">
        <f>SUM(J7-I7)</f>
        <v>-0.89999999999999947</v>
      </c>
      <c r="L7" s="614">
        <f>SUM(J7-H7)</f>
        <v>-1.2000000000000002</v>
      </c>
      <c r="N7" s="512" t="s">
        <v>102</v>
      </c>
      <c r="O7" s="512" t="s">
        <v>102</v>
      </c>
    </row>
    <row r="8" spans="2:15" ht="16.5" customHeight="1" x14ac:dyDescent="0.25">
      <c r="B8" s="59" t="s">
        <v>23</v>
      </c>
      <c r="C8" s="603">
        <v>1157</v>
      </c>
      <c r="D8" s="36">
        <v>1184</v>
      </c>
      <c r="E8" s="40">
        <v>1033</v>
      </c>
      <c r="F8" s="36">
        <f t="shared" ref="F8:F32" si="1">SUM(E8-D8)</f>
        <v>-151</v>
      </c>
      <c r="G8" s="153">
        <f t="shared" si="0"/>
        <v>-124</v>
      </c>
      <c r="H8" s="450">
        <v>13.5</v>
      </c>
      <c r="I8" s="604">
        <v>14.1</v>
      </c>
      <c r="J8" s="605">
        <v>12.4</v>
      </c>
      <c r="K8" s="604">
        <f t="shared" ref="K8:K32" si="2">SUM(J8-I8)</f>
        <v>-1.6999999999999993</v>
      </c>
      <c r="L8" s="37">
        <f t="shared" ref="L8:L32" si="3">SUM(J8-H8)</f>
        <v>-1.0999999999999996</v>
      </c>
      <c r="N8" s="206">
        <f>RANK(F8,F8:F32,0)</f>
        <v>4</v>
      </c>
      <c r="O8" s="206">
        <f>RANK(F8,F8:F32,1)</f>
        <v>22</v>
      </c>
    </row>
    <row r="9" spans="2:15" ht="15" customHeight="1" x14ac:dyDescent="0.25">
      <c r="B9" s="12" t="s">
        <v>24</v>
      </c>
      <c r="C9" s="338">
        <v>4057</v>
      </c>
      <c r="D9" s="13">
        <v>4282</v>
      </c>
      <c r="E9" s="38">
        <v>3904</v>
      </c>
      <c r="F9" s="13">
        <f t="shared" si="1"/>
        <v>-378</v>
      </c>
      <c r="G9" s="15">
        <f t="shared" si="0"/>
        <v>-153</v>
      </c>
      <c r="H9" s="449">
        <v>14.5</v>
      </c>
      <c r="I9" s="208">
        <v>15.2</v>
      </c>
      <c r="J9" s="546">
        <v>14</v>
      </c>
      <c r="K9" s="208">
        <f t="shared" si="2"/>
        <v>-1.1999999999999993</v>
      </c>
      <c r="L9" s="31">
        <f t="shared" si="3"/>
        <v>-0.5</v>
      </c>
      <c r="N9" s="9">
        <f>RANK(F9,F8:F32,0)</f>
        <v>17</v>
      </c>
      <c r="O9" s="9">
        <f>RANK(F9,F8:F32,1)</f>
        <v>9</v>
      </c>
    </row>
    <row r="10" spans="2:15" ht="15" customHeight="1" x14ac:dyDescent="0.25">
      <c r="B10" s="12" t="s">
        <v>25</v>
      </c>
      <c r="C10" s="338">
        <v>3035</v>
      </c>
      <c r="D10" s="13">
        <v>2682</v>
      </c>
      <c r="E10" s="38">
        <v>2394</v>
      </c>
      <c r="F10" s="13">
        <f t="shared" si="1"/>
        <v>-288</v>
      </c>
      <c r="G10" s="15">
        <f t="shared" si="0"/>
        <v>-641</v>
      </c>
      <c r="H10" s="449">
        <v>4.9000000000000004</v>
      </c>
      <c r="I10" s="208">
        <v>4.4000000000000004</v>
      </c>
      <c r="J10" s="546">
        <v>3.9</v>
      </c>
      <c r="K10" s="208">
        <f t="shared" si="2"/>
        <v>-0.50000000000000044</v>
      </c>
      <c r="L10" s="31">
        <f t="shared" si="3"/>
        <v>-1.0000000000000004</v>
      </c>
      <c r="N10" s="9">
        <f>RANK(F10,F8:F32,0)</f>
        <v>12</v>
      </c>
      <c r="O10" s="9">
        <f>RANK(F10,F8:F32,1)</f>
        <v>14</v>
      </c>
    </row>
    <row r="11" spans="2:15" ht="15.75" customHeight="1" x14ac:dyDescent="0.25">
      <c r="B11" s="12" t="s">
        <v>26</v>
      </c>
      <c r="C11" s="338">
        <v>5829</v>
      </c>
      <c r="D11" s="13">
        <v>5381</v>
      </c>
      <c r="E11" s="38">
        <v>4646</v>
      </c>
      <c r="F11" s="13">
        <f t="shared" si="1"/>
        <v>-735</v>
      </c>
      <c r="G11" s="15">
        <f t="shared" si="0"/>
        <v>-1183</v>
      </c>
      <c r="H11" s="449">
        <v>11.1</v>
      </c>
      <c r="I11" s="208">
        <v>10.199999999999999</v>
      </c>
      <c r="J11" s="546">
        <v>8.9</v>
      </c>
      <c r="K11" s="208">
        <f t="shared" si="2"/>
        <v>-1.2999999999999989</v>
      </c>
      <c r="L11" s="31">
        <f t="shared" si="3"/>
        <v>-2.1999999999999993</v>
      </c>
      <c r="N11" s="9">
        <f>RANK(F11,F8:F32,0)</f>
        <v>25</v>
      </c>
      <c r="O11" s="9">
        <f>RANK(F11,F8:F32,1)</f>
        <v>1</v>
      </c>
    </row>
    <row r="12" spans="2:15" ht="16.5" customHeight="1" x14ac:dyDescent="0.25">
      <c r="B12" s="12" t="s">
        <v>27</v>
      </c>
      <c r="C12" s="338">
        <v>5581</v>
      </c>
      <c r="D12" s="13">
        <v>5442</v>
      </c>
      <c r="E12" s="38">
        <v>4770</v>
      </c>
      <c r="F12" s="13">
        <f t="shared" si="1"/>
        <v>-672</v>
      </c>
      <c r="G12" s="15">
        <f t="shared" si="0"/>
        <v>-811</v>
      </c>
      <c r="H12" s="449">
        <v>10.5</v>
      </c>
      <c r="I12" s="208">
        <v>10.3</v>
      </c>
      <c r="J12" s="546">
        <v>9.1</v>
      </c>
      <c r="K12" s="208">
        <f t="shared" si="2"/>
        <v>-1.2000000000000011</v>
      </c>
      <c r="L12" s="31">
        <f t="shared" si="3"/>
        <v>-1.4000000000000004</v>
      </c>
      <c r="N12" s="9">
        <f>RANK(F12,F8:F32,0)</f>
        <v>23</v>
      </c>
      <c r="O12" s="9">
        <f>RANK(F12,F8:F32,1)</f>
        <v>3</v>
      </c>
    </row>
    <row r="13" spans="2:15" ht="15.75" customHeight="1" x14ac:dyDescent="0.25">
      <c r="B13" s="12" t="s">
        <v>28</v>
      </c>
      <c r="C13" s="338">
        <v>1850</v>
      </c>
      <c r="D13" s="13">
        <v>1744</v>
      </c>
      <c r="E13" s="38">
        <v>1621</v>
      </c>
      <c r="F13" s="13">
        <f t="shared" si="1"/>
        <v>-123</v>
      </c>
      <c r="G13" s="15">
        <f t="shared" si="0"/>
        <v>-229</v>
      </c>
      <c r="H13" s="449">
        <v>7.6</v>
      </c>
      <c r="I13" s="208">
        <v>7.2</v>
      </c>
      <c r="J13" s="546">
        <v>6.7</v>
      </c>
      <c r="K13" s="208">
        <f t="shared" si="2"/>
        <v>-0.5</v>
      </c>
      <c r="L13" s="31">
        <f t="shared" si="3"/>
        <v>-0.89999999999999947</v>
      </c>
      <c r="N13" s="9">
        <f>RANK(F13,F8:F32,0)</f>
        <v>3</v>
      </c>
      <c r="O13" s="9">
        <f>RANK(F13,F8:F32,1)</f>
        <v>23</v>
      </c>
    </row>
    <row r="14" spans="2:15" x14ac:dyDescent="0.25">
      <c r="B14" s="12" t="s">
        <v>29</v>
      </c>
      <c r="C14" s="338">
        <v>2267</v>
      </c>
      <c r="D14" s="13">
        <v>1995</v>
      </c>
      <c r="E14" s="38">
        <v>1824</v>
      </c>
      <c r="F14" s="13">
        <f t="shared" si="1"/>
        <v>-171</v>
      </c>
      <c r="G14" s="15">
        <f t="shared" si="0"/>
        <v>-443</v>
      </c>
      <c r="H14" s="449">
        <v>6.3</v>
      </c>
      <c r="I14" s="208">
        <v>5.5</v>
      </c>
      <c r="J14" s="546">
        <v>5.0999999999999996</v>
      </c>
      <c r="K14" s="208">
        <f t="shared" si="2"/>
        <v>-0.40000000000000036</v>
      </c>
      <c r="L14" s="31">
        <f t="shared" si="3"/>
        <v>-1.2000000000000002</v>
      </c>
      <c r="N14" s="9">
        <f>RANK(F14,F8:F32,0)</f>
        <v>5</v>
      </c>
      <c r="O14" s="9">
        <f>RANK(F14,F8:F32,1)</f>
        <v>21</v>
      </c>
    </row>
    <row r="15" spans="2:15" x14ac:dyDescent="0.25">
      <c r="B15" s="616" t="s">
        <v>30</v>
      </c>
      <c r="C15" s="617">
        <v>1602</v>
      </c>
      <c r="D15" s="564">
        <v>1745</v>
      </c>
      <c r="E15" s="618">
        <v>1560</v>
      </c>
      <c r="F15" s="564">
        <f t="shared" si="1"/>
        <v>-185</v>
      </c>
      <c r="G15" s="619">
        <f t="shared" si="0"/>
        <v>-42</v>
      </c>
      <c r="H15" s="620">
        <v>14.2</v>
      </c>
      <c r="I15" s="621">
        <v>15.2</v>
      </c>
      <c r="J15" s="622">
        <v>13.8</v>
      </c>
      <c r="K15" s="621">
        <f t="shared" si="2"/>
        <v>-1.3999999999999986</v>
      </c>
      <c r="L15" s="623">
        <f t="shared" si="3"/>
        <v>-0.39999999999999858</v>
      </c>
      <c r="N15" s="624">
        <f>RANK(F15,F8:F32,0)</f>
        <v>6</v>
      </c>
      <c r="O15" s="624">
        <f>RANK(F15,F8:F32,1)</f>
        <v>20</v>
      </c>
    </row>
    <row r="16" spans="2:15" ht="16.5" customHeight="1" x14ac:dyDescent="0.25">
      <c r="B16" s="12" t="s">
        <v>31</v>
      </c>
      <c r="C16" s="338">
        <v>3722</v>
      </c>
      <c r="D16" s="13">
        <v>3656</v>
      </c>
      <c r="E16" s="38">
        <v>3283</v>
      </c>
      <c r="F16" s="13">
        <f t="shared" si="1"/>
        <v>-373</v>
      </c>
      <c r="G16" s="15">
        <f t="shared" si="0"/>
        <v>-439</v>
      </c>
      <c r="H16" s="449">
        <v>13.5</v>
      </c>
      <c r="I16" s="208">
        <v>13.4</v>
      </c>
      <c r="J16" s="546">
        <v>12.1</v>
      </c>
      <c r="K16" s="208">
        <f t="shared" si="2"/>
        <v>-1.3000000000000007</v>
      </c>
      <c r="L16" s="31">
        <f t="shared" si="3"/>
        <v>-1.4000000000000004</v>
      </c>
      <c r="N16" s="9">
        <f>RANK(F16,F8:F32,0)</f>
        <v>16</v>
      </c>
      <c r="O16" s="9">
        <f>RANK(F16,F8:F32,1)</f>
        <v>10</v>
      </c>
    </row>
    <row r="17" spans="2:15" x14ac:dyDescent="0.25">
      <c r="B17" s="12" t="s">
        <v>32</v>
      </c>
      <c r="C17" s="338">
        <v>1965</v>
      </c>
      <c r="D17" s="13">
        <v>2056</v>
      </c>
      <c r="E17" s="38">
        <v>1669</v>
      </c>
      <c r="F17" s="13">
        <f t="shared" si="1"/>
        <v>-387</v>
      </c>
      <c r="G17" s="15">
        <f t="shared" si="0"/>
        <v>-296</v>
      </c>
      <c r="H17" s="449">
        <v>8.4</v>
      </c>
      <c r="I17" s="208">
        <v>8.6999999999999993</v>
      </c>
      <c r="J17" s="546">
        <v>7.2</v>
      </c>
      <c r="K17" s="208">
        <f t="shared" si="2"/>
        <v>-1.4999999999999991</v>
      </c>
      <c r="L17" s="31">
        <f t="shared" si="3"/>
        <v>-1.2000000000000002</v>
      </c>
      <c r="N17" s="9">
        <f>RANK(F17,F8:F32,0)</f>
        <v>19</v>
      </c>
      <c r="O17" s="9">
        <f>RANK(F17,F8:F32,1)</f>
        <v>7</v>
      </c>
    </row>
    <row r="18" spans="2:15" x14ac:dyDescent="0.25">
      <c r="B18" s="12" t="s">
        <v>33</v>
      </c>
      <c r="C18" s="338">
        <v>3419</v>
      </c>
      <c r="D18" s="13">
        <v>3297</v>
      </c>
      <c r="E18" s="38">
        <v>2858</v>
      </c>
      <c r="F18" s="13">
        <f t="shared" si="1"/>
        <v>-439</v>
      </c>
      <c r="G18" s="15">
        <f t="shared" si="0"/>
        <v>-561</v>
      </c>
      <c r="H18" s="449">
        <v>10.5</v>
      </c>
      <c r="I18" s="208">
        <v>10.1</v>
      </c>
      <c r="J18" s="546">
        <v>8.8000000000000007</v>
      </c>
      <c r="K18" s="208">
        <f t="shared" si="2"/>
        <v>-1.2999999999999989</v>
      </c>
      <c r="L18" s="31">
        <f t="shared" si="3"/>
        <v>-1.6999999999999993</v>
      </c>
      <c r="N18" s="9">
        <f>RANK(F18,F8:F32,0)</f>
        <v>20</v>
      </c>
      <c r="O18" s="9">
        <f>RANK(F18,F8:F32,1)</f>
        <v>6</v>
      </c>
    </row>
    <row r="19" spans="2:15" x14ac:dyDescent="0.25">
      <c r="B19" s="12" t="s">
        <v>34</v>
      </c>
      <c r="C19" s="338">
        <v>3173</v>
      </c>
      <c r="D19" s="13">
        <v>2900</v>
      </c>
      <c r="E19" s="38">
        <v>2520</v>
      </c>
      <c r="F19" s="13">
        <f t="shared" si="1"/>
        <v>-380</v>
      </c>
      <c r="G19" s="15">
        <f t="shared" si="0"/>
        <v>-653</v>
      </c>
      <c r="H19" s="449">
        <v>4.8</v>
      </c>
      <c r="I19" s="208">
        <v>4.4000000000000004</v>
      </c>
      <c r="J19" s="546">
        <v>3.9</v>
      </c>
      <c r="K19" s="208">
        <f t="shared" si="2"/>
        <v>-0.50000000000000044</v>
      </c>
      <c r="L19" s="31">
        <f t="shared" si="3"/>
        <v>-0.89999999999999991</v>
      </c>
      <c r="N19" s="9">
        <f>RANK(F19,F8:F32,0)</f>
        <v>18</v>
      </c>
      <c r="O19" s="9">
        <f>RANK(F19,F8:F32,1)</f>
        <v>8</v>
      </c>
    </row>
    <row r="20" spans="2:15" x14ac:dyDescent="0.25">
      <c r="B20" s="12" t="s">
        <v>35</v>
      </c>
      <c r="C20" s="338">
        <v>3484</v>
      </c>
      <c r="D20" s="13">
        <v>3334</v>
      </c>
      <c r="E20" s="38">
        <v>3137</v>
      </c>
      <c r="F20" s="13">
        <f t="shared" si="1"/>
        <v>-197</v>
      </c>
      <c r="G20" s="15">
        <f t="shared" si="0"/>
        <v>-347</v>
      </c>
      <c r="H20" s="449">
        <v>15.4</v>
      </c>
      <c r="I20" s="208">
        <v>14.7</v>
      </c>
      <c r="J20" s="546">
        <v>13.9</v>
      </c>
      <c r="K20" s="208">
        <f t="shared" si="2"/>
        <v>-0.79999999999999893</v>
      </c>
      <c r="L20" s="31">
        <f t="shared" si="3"/>
        <v>-1.5</v>
      </c>
      <c r="N20" s="9">
        <f>RANK(F20,F8:F32,0)</f>
        <v>7</v>
      </c>
      <c r="O20" s="9">
        <f>RANK(F20,F8:F32,1)</f>
        <v>19</v>
      </c>
    </row>
    <row r="21" spans="2:15" x14ac:dyDescent="0.25">
      <c r="B21" s="18" t="s">
        <v>36</v>
      </c>
      <c r="C21" s="338">
        <v>3536</v>
      </c>
      <c r="D21" s="13">
        <v>3711</v>
      </c>
      <c r="E21" s="38">
        <v>3068</v>
      </c>
      <c r="F21" s="13">
        <f t="shared" si="1"/>
        <v>-643</v>
      </c>
      <c r="G21" s="15">
        <f t="shared" si="0"/>
        <v>-468</v>
      </c>
      <c r="H21" s="449">
        <v>12.7</v>
      </c>
      <c r="I21" s="208">
        <v>13.3</v>
      </c>
      <c r="J21" s="546">
        <v>11.2</v>
      </c>
      <c r="K21" s="208">
        <f t="shared" si="2"/>
        <v>-2.1000000000000014</v>
      </c>
      <c r="L21" s="31">
        <f t="shared" si="3"/>
        <v>-1.5</v>
      </c>
      <c r="N21" s="9">
        <f>RANK(F21,F8:F32,0)</f>
        <v>22</v>
      </c>
      <c r="O21" s="9">
        <f>RANK(F21,F8:F32,1)</f>
        <v>4</v>
      </c>
    </row>
    <row r="22" spans="2:15" x14ac:dyDescent="0.25">
      <c r="B22" s="18" t="s">
        <v>37</v>
      </c>
      <c r="C22" s="338">
        <v>3789</v>
      </c>
      <c r="D22" s="13">
        <v>3851</v>
      </c>
      <c r="E22" s="38">
        <v>3498</v>
      </c>
      <c r="F22" s="13">
        <f t="shared" si="1"/>
        <v>-353</v>
      </c>
      <c r="G22" s="15">
        <f t="shared" si="0"/>
        <v>-291</v>
      </c>
      <c r="H22" s="449">
        <v>11.3</v>
      </c>
      <c r="I22" s="208">
        <v>11.4</v>
      </c>
      <c r="J22" s="546">
        <v>10.4</v>
      </c>
      <c r="K22" s="208">
        <f t="shared" si="2"/>
        <v>-1</v>
      </c>
      <c r="L22" s="31">
        <f t="shared" si="3"/>
        <v>-0.90000000000000036</v>
      </c>
      <c r="N22" s="9">
        <f>RANK(F22,F8:F32,0)</f>
        <v>15</v>
      </c>
      <c r="O22" s="9">
        <f>RANK(F22,F8:F32,1)</f>
        <v>11</v>
      </c>
    </row>
    <row r="23" spans="2:15" x14ac:dyDescent="0.25">
      <c r="B23" s="18" t="s">
        <v>38</v>
      </c>
      <c r="C23" s="338">
        <v>3413</v>
      </c>
      <c r="D23" s="13">
        <v>3190</v>
      </c>
      <c r="E23" s="38">
        <v>2974</v>
      </c>
      <c r="F23" s="13">
        <f t="shared" si="1"/>
        <v>-216</v>
      </c>
      <c r="G23" s="15">
        <f t="shared" si="0"/>
        <v>-439</v>
      </c>
      <c r="H23" s="449">
        <v>11.7</v>
      </c>
      <c r="I23" s="208">
        <v>11.2</v>
      </c>
      <c r="J23" s="546">
        <v>10.4</v>
      </c>
      <c r="K23" s="208">
        <f t="shared" si="2"/>
        <v>-0.79999999999999893</v>
      </c>
      <c r="L23" s="31">
        <f t="shared" si="3"/>
        <v>-1.2999999999999989</v>
      </c>
      <c r="N23" s="9">
        <f>RANK(F23,F8:F32,0)</f>
        <v>9</v>
      </c>
      <c r="O23" s="9">
        <f>RANK(F23,F8:F32,1)</f>
        <v>17</v>
      </c>
    </row>
    <row r="24" spans="2:15" x14ac:dyDescent="0.25">
      <c r="B24" s="18" t="s">
        <v>39</v>
      </c>
      <c r="C24" s="338">
        <v>6285</v>
      </c>
      <c r="D24" s="13">
        <v>5678</v>
      </c>
      <c r="E24" s="38">
        <v>4947</v>
      </c>
      <c r="F24" s="13">
        <f t="shared" si="1"/>
        <v>-731</v>
      </c>
      <c r="G24" s="15">
        <f t="shared" si="0"/>
        <v>-1338</v>
      </c>
      <c r="H24" s="449">
        <v>8.4</v>
      </c>
      <c r="I24" s="208">
        <v>7.5</v>
      </c>
      <c r="J24" s="546">
        <v>6.6</v>
      </c>
      <c r="K24" s="208">
        <f t="shared" si="2"/>
        <v>-0.90000000000000036</v>
      </c>
      <c r="L24" s="31">
        <f t="shared" si="3"/>
        <v>-1.8000000000000007</v>
      </c>
      <c r="N24" s="9">
        <f>RANK(F24,F8:F32,0)</f>
        <v>24</v>
      </c>
      <c r="O24" s="9">
        <f>RANK(F24,F8:F32,1)</f>
        <v>2</v>
      </c>
    </row>
    <row r="25" spans="2:15" x14ac:dyDescent="0.25">
      <c r="B25" s="18" t="s">
        <v>40</v>
      </c>
      <c r="C25" s="338">
        <v>2679</v>
      </c>
      <c r="D25" s="13">
        <v>2488</v>
      </c>
      <c r="E25" s="38">
        <v>2379</v>
      </c>
      <c r="F25" s="13">
        <f t="shared" si="1"/>
        <v>-109</v>
      </c>
      <c r="G25" s="15">
        <f t="shared" si="0"/>
        <v>-300</v>
      </c>
      <c r="H25" s="449">
        <v>6.4</v>
      </c>
      <c r="I25" s="208">
        <v>6.1</v>
      </c>
      <c r="J25" s="546">
        <v>5.8</v>
      </c>
      <c r="K25" s="208">
        <f t="shared" si="2"/>
        <v>-0.29999999999999982</v>
      </c>
      <c r="L25" s="31">
        <f t="shared" si="3"/>
        <v>-0.60000000000000053</v>
      </c>
      <c r="N25" s="9">
        <f>RANK(F25,F8:F32,0)</f>
        <v>2</v>
      </c>
      <c r="O25" s="9">
        <f>RANK(F25,F8:F32,1)</f>
        <v>24</v>
      </c>
    </row>
    <row r="26" spans="2:15" x14ac:dyDescent="0.25">
      <c r="B26" s="18" t="s">
        <v>41</v>
      </c>
      <c r="C26" s="338">
        <v>2398</v>
      </c>
      <c r="D26" s="13">
        <v>2204</v>
      </c>
      <c r="E26" s="38">
        <v>1948</v>
      </c>
      <c r="F26" s="13">
        <f t="shared" si="1"/>
        <v>-256</v>
      </c>
      <c r="G26" s="15">
        <f t="shared" si="0"/>
        <v>-450</v>
      </c>
      <c r="H26" s="449">
        <v>5.4</v>
      </c>
      <c r="I26" s="208">
        <v>5</v>
      </c>
      <c r="J26" s="546">
        <v>4.4000000000000004</v>
      </c>
      <c r="K26" s="208">
        <f t="shared" si="2"/>
        <v>-0.59999999999999964</v>
      </c>
      <c r="L26" s="31">
        <f t="shared" si="3"/>
        <v>-1</v>
      </c>
      <c r="N26" s="9">
        <f>RANK(F26,F8:F32,0)</f>
        <v>11</v>
      </c>
      <c r="O26" s="9">
        <f>RANK(F26,F8:F32,1)</f>
        <v>15</v>
      </c>
    </row>
    <row r="27" spans="2:15" x14ac:dyDescent="0.25">
      <c r="B27" s="18" t="s">
        <v>42</v>
      </c>
      <c r="C27" s="338">
        <v>3573</v>
      </c>
      <c r="D27" s="13">
        <v>3535</v>
      </c>
      <c r="E27" s="38">
        <v>3233</v>
      </c>
      <c r="F27" s="13">
        <f t="shared" si="1"/>
        <v>-302</v>
      </c>
      <c r="G27" s="15">
        <f t="shared" si="0"/>
        <v>-340</v>
      </c>
      <c r="H27" s="449">
        <v>13.4</v>
      </c>
      <c r="I27" s="208">
        <v>13.3</v>
      </c>
      <c r="J27" s="546">
        <v>12.2</v>
      </c>
      <c r="K27" s="208">
        <f t="shared" si="2"/>
        <v>-1.1000000000000014</v>
      </c>
      <c r="L27" s="31">
        <f t="shared" si="3"/>
        <v>-1.2000000000000011</v>
      </c>
      <c r="N27" s="9">
        <f>RANK(F27,F8:F32,0)</f>
        <v>13</v>
      </c>
      <c r="O27" s="9">
        <f>RANK(F27,F8:F32,1)</f>
        <v>13</v>
      </c>
    </row>
    <row r="28" spans="2:15" x14ac:dyDescent="0.25">
      <c r="B28" s="18" t="s">
        <v>43</v>
      </c>
      <c r="C28" s="338">
        <v>1643</v>
      </c>
      <c r="D28" s="13">
        <v>1610</v>
      </c>
      <c r="E28" s="38">
        <v>1407</v>
      </c>
      <c r="F28" s="13">
        <f t="shared" si="1"/>
        <v>-203</v>
      </c>
      <c r="G28" s="15">
        <f t="shared" si="0"/>
        <v>-236</v>
      </c>
      <c r="H28" s="449">
        <v>7</v>
      </c>
      <c r="I28" s="208">
        <v>7</v>
      </c>
      <c r="J28" s="546">
        <v>6.1</v>
      </c>
      <c r="K28" s="208">
        <f t="shared" si="2"/>
        <v>-0.90000000000000036</v>
      </c>
      <c r="L28" s="31">
        <f t="shared" si="3"/>
        <v>-0.90000000000000036</v>
      </c>
      <c r="N28" s="9">
        <f>RANK(F28,F8:F32,0)</f>
        <v>8</v>
      </c>
      <c r="O28" s="9">
        <f>RANK(F28,F8:F32,1)</f>
        <v>18</v>
      </c>
    </row>
    <row r="29" spans="2:15" x14ac:dyDescent="0.25">
      <c r="B29" s="18" t="s">
        <v>44</v>
      </c>
      <c r="C29" s="338">
        <v>846</v>
      </c>
      <c r="D29" s="13">
        <v>701</v>
      </c>
      <c r="E29" s="38">
        <v>734</v>
      </c>
      <c r="F29" s="13">
        <f t="shared" si="1"/>
        <v>33</v>
      </c>
      <c r="G29" s="15">
        <f t="shared" si="0"/>
        <v>-112</v>
      </c>
      <c r="H29" s="449">
        <v>2.8</v>
      </c>
      <c r="I29" s="208">
        <v>2.4</v>
      </c>
      <c r="J29" s="546">
        <v>2.5</v>
      </c>
      <c r="K29" s="208">
        <f t="shared" si="2"/>
        <v>0.10000000000000009</v>
      </c>
      <c r="L29" s="31">
        <f t="shared" si="3"/>
        <v>-0.29999999999999982</v>
      </c>
      <c r="N29" s="9">
        <f>RANK(F29,F8:F32,0)</f>
        <v>1</v>
      </c>
      <c r="O29" s="9">
        <f>RANK(F29,F8:F32,1)</f>
        <v>25</v>
      </c>
    </row>
    <row r="30" spans="2:15" x14ac:dyDescent="0.25">
      <c r="B30" s="18" t="s">
        <v>45</v>
      </c>
      <c r="C30" s="338">
        <v>2986</v>
      </c>
      <c r="D30" s="13">
        <v>2907</v>
      </c>
      <c r="E30" s="38">
        <v>2593</v>
      </c>
      <c r="F30" s="13">
        <f t="shared" si="1"/>
        <v>-314</v>
      </c>
      <c r="G30" s="15">
        <f t="shared" si="0"/>
        <v>-393</v>
      </c>
      <c r="H30" s="449">
        <v>10.9</v>
      </c>
      <c r="I30" s="208">
        <v>10.8</v>
      </c>
      <c r="J30" s="546">
        <v>9.6999999999999993</v>
      </c>
      <c r="K30" s="208">
        <f t="shared" si="2"/>
        <v>-1.1000000000000014</v>
      </c>
      <c r="L30" s="31">
        <f t="shared" si="3"/>
        <v>-1.2000000000000011</v>
      </c>
      <c r="N30" s="9">
        <f>RANK(F30,F8:F32,0)</f>
        <v>14</v>
      </c>
      <c r="O30" s="9">
        <f>RANK(F30,F8:F32,1)</f>
        <v>12</v>
      </c>
    </row>
    <row r="31" spans="2:15" x14ac:dyDescent="0.25">
      <c r="B31" s="18" t="s">
        <v>46</v>
      </c>
      <c r="C31" s="338">
        <v>7175</v>
      </c>
      <c r="D31" s="13">
        <v>6294</v>
      </c>
      <c r="E31" s="38">
        <v>5823</v>
      </c>
      <c r="F31" s="13">
        <f t="shared" si="1"/>
        <v>-471</v>
      </c>
      <c r="G31" s="15">
        <f t="shared" si="0"/>
        <v>-1352</v>
      </c>
      <c r="H31" s="449">
        <v>5.5</v>
      </c>
      <c r="I31" s="208">
        <v>4.9000000000000004</v>
      </c>
      <c r="J31" s="546">
        <v>4.5999999999999996</v>
      </c>
      <c r="K31" s="208">
        <f t="shared" si="2"/>
        <v>-0.30000000000000071</v>
      </c>
      <c r="L31" s="31">
        <f t="shared" si="3"/>
        <v>-0.90000000000000036</v>
      </c>
      <c r="N31" s="9">
        <f>RANK(F31,F8:F32,0)</f>
        <v>21</v>
      </c>
      <c r="O31" s="9">
        <f>RANK(F31,F8:F32,1)</f>
        <v>5</v>
      </c>
    </row>
    <row r="32" spans="2:15" ht="15.75" thickBot="1" x14ac:dyDescent="0.3">
      <c r="B32" s="19" t="s">
        <v>47</v>
      </c>
      <c r="C32" s="339">
        <v>1480</v>
      </c>
      <c r="D32" s="20">
        <v>1424</v>
      </c>
      <c r="E32" s="41">
        <v>1193</v>
      </c>
      <c r="F32" s="20">
        <f t="shared" si="1"/>
        <v>-231</v>
      </c>
      <c r="G32" s="22">
        <f t="shared" si="0"/>
        <v>-287</v>
      </c>
      <c r="H32" s="447">
        <v>8.5</v>
      </c>
      <c r="I32" s="496">
        <v>8.1999999999999993</v>
      </c>
      <c r="J32" s="547">
        <v>6.9</v>
      </c>
      <c r="K32" s="496">
        <f t="shared" si="2"/>
        <v>-1.2999999999999989</v>
      </c>
      <c r="L32" s="32">
        <f t="shared" si="3"/>
        <v>-1.5999999999999996</v>
      </c>
      <c r="N32" s="5">
        <f>RANK(F32,F8:F32,0)</f>
        <v>10</v>
      </c>
      <c r="O32" s="5">
        <f>RANK(F32,F8:F32,1)</f>
        <v>16</v>
      </c>
    </row>
    <row r="33" spans="2:3" x14ac:dyDescent="0.25">
      <c r="B33" s="55" t="s">
        <v>127</v>
      </c>
      <c r="C33" s="55"/>
    </row>
  </sheetData>
  <mergeCells count="3">
    <mergeCell ref="H5:L5"/>
    <mergeCell ref="B5:B6"/>
    <mergeCell ref="C5:G5"/>
  </mergeCells>
  <printOptions horizontalCentered="1"/>
  <pageMargins left="0.78740157480314965" right="0.78740157480314965" top="1.1417322834645669" bottom="0.74803149606299213" header="0.31496062992125984" footer="0.31496062992125984"/>
  <pageSetup paperSize="9" scale="6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2:AG37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4.140625" style="84" customWidth="1"/>
    <col min="2" max="2" width="22" style="84" customWidth="1"/>
    <col min="3" max="3" width="10.28515625" style="84" customWidth="1"/>
    <col min="4" max="4" width="13.85546875" style="84" customWidth="1"/>
    <col min="5" max="5" width="11.140625" style="84" customWidth="1"/>
    <col min="6" max="6" width="13.7109375" style="84" customWidth="1"/>
    <col min="7" max="7" width="10" style="84" customWidth="1"/>
    <col min="8" max="8" width="13.7109375" style="84" customWidth="1"/>
    <col min="9" max="9" width="12.140625" style="84" customWidth="1"/>
    <col min="10" max="10" width="12.28515625" style="84" customWidth="1"/>
    <col min="11" max="11" width="10.5703125" style="84" customWidth="1"/>
    <col min="12" max="12" width="14" style="84" customWidth="1"/>
    <col min="13" max="13" width="11.5703125" style="84" customWidth="1"/>
    <col min="14" max="14" width="13.42578125" style="84" customWidth="1"/>
    <col min="15" max="15" width="8.85546875" style="84" customWidth="1"/>
    <col min="16" max="16" width="14" style="84" customWidth="1"/>
    <col min="17" max="17" width="12" style="84" customWidth="1"/>
    <col min="18" max="18" width="14.28515625" style="84" customWidth="1"/>
    <col min="19" max="19" width="2.85546875" style="84" customWidth="1"/>
    <col min="20" max="20" width="8.28515625" style="84" customWidth="1"/>
    <col min="21" max="21" width="9.42578125" style="84" customWidth="1"/>
    <col min="22" max="26" width="9.140625" style="84"/>
    <col min="27" max="27" width="8" style="84" customWidth="1"/>
    <col min="28" max="16384" width="9.140625" style="84"/>
  </cols>
  <sheetData>
    <row r="2" spans="2:33" ht="14.45" x14ac:dyDescent="0.3">
      <c r="B2" s="11" t="s">
        <v>436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33" x14ac:dyDescent="0.25">
      <c r="B3" s="11" t="s">
        <v>393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2:33" x14ac:dyDescent="0.25">
      <c r="B4" s="11" t="s">
        <v>380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2:33" thickBot="1" x14ac:dyDescent="0.35">
      <c r="B5" s="11"/>
      <c r="C5" s="1019"/>
      <c r="D5" s="1019"/>
      <c r="E5" s="1019"/>
      <c r="F5" s="1019"/>
      <c r="G5" s="1020"/>
      <c r="H5" s="1020"/>
      <c r="I5" s="1020"/>
      <c r="J5" s="223"/>
      <c r="K5" s="11"/>
      <c r="L5" s="11"/>
      <c r="M5" s="11"/>
      <c r="N5" s="11"/>
      <c r="O5" s="11"/>
      <c r="P5" s="11"/>
      <c r="Q5" s="11"/>
      <c r="R5" s="11"/>
    </row>
    <row r="6" spans="2:33" x14ac:dyDescent="0.25">
      <c r="B6" s="901" t="s">
        <v>122</v>
      </c>
      <c r="C6" s="956" t="s">
        <v>414</v>
      </c>
      <c r="D6" s="957"/>
      <c r="E6" s="957"/>
      <c r="F6" s="1021"/>
      <c r="G6" s="930" t="s">
        <v>491</v>
      </c>
      <c r="H6" s="931"/>
      <c r="I6" s="931"/>
      <c r="J6" s="932"/>
      <c r="K6" s="930" t="s">
        <v>126</v>
      </c>
      <c r="L6" s="931"/>
      <c r="M6" s="931"/>
      <c r="N6" s="932"/>
      <c r="O6" s="930" t="s">
        <v>520</v>
      </c>
      <c r="P6" s="931"/>
      <c r="Q6" s="931"/>
      <c r="R6" s="932"/>
    </row>
    <row r="7" spans="2:33" x14ac:dyDescent="0.25">
      <c r="B7" s="902"/>
      <c r="C7" s="994" t="s">
        <v>4</v>
      </c>
      <c r="D7" s="991" t="s">
        <v>57</v>
      </c>
      <c r="E7" s="991"/>
      <c r="F7" s="933" t="s">
        <v>323</v>
      </c>
      <c r="G7" s="886" t="s">
        <v>4</v>
      </c>
      <c r="H7" s="997" t="s">
        <v>57</v>
      </c>
      <c r="I7" s="1023"/>
      <c r="J7" s="1024" t="s">
        <v>323</v>
      </c>
      <c r="K7" s="994" t="s">
        <v>178</v>
      </c>
      <c r="L7" s="991" t="s">
        <v>57</v>
      </c>
      <c r="M7" s="991"/>
      <c r="N7" s="933" t="s">
        <v>324</v>
      </c>
      <c r="O7" s="994" t="s">
        <v>178</v>
      </c>
      <c r="P7" s="991" t="s">
        <v>57</v>
      </c>
      <c r="Q7" s="991"/>
      <c r="R7" s="889" t="s">
        <v>324</v>
      </c>
    </row>
    <row r="8" spans="2:33" ht="75.75" customHeight="1" thickBot="1" x14ac:dyDescent="0.3">
      <c r="B8" s="903"/>
      <c r="C8" s="985"/>
      <c r="D8" s="104" t="s">
        <v>55</v>
      </c>
      <c r="E8" s="104" t="s">
        <v>56</v>
      </c>
      <c r="F8" s="1026"/>
      <c r="G8" s="1022"/>
      <c r="H8" s="194" t="s">
        <v>55</v>
      </c>
      <c r="I8" s="194" t="s">
        <v>56</v>
      </c>
      <c r="J8" s="1025"/>
      <c r="K8" s="985"/>
      <c r="L8" s="104" t="s">
        <v>55</v>
      </c>
      <c r="M8" s="104" t="s">
        <v>56</v>
      </c>
      <c r="N8" s="1026"/>
      <c r="O8" s="985"/>
      <c r="P8" s="104" t="s">
        <v>55</v>
      </c>
      <c r="Q8" s="104" t="s">
        <v>56</v>
      </c>
      <c r="R8" s="987"/>
      <c r="T8" s="102" t="s">
        <v>521</v>
      </c>
      <c r="U8" s="102">
        <v>1</v>
      </c>
      <c r="V8" s="102">
        <v>2</v>
      </c>
      <c r="W8" s="102">
        <v>3</v>
      </c>
      <c r="X8" s="102">
        <v>4</v>
      </c>
      <c r="Y8" s="102">
        <v>5</v>
      </c>
      <c r="Z8" s="102">
        <v>6</v>
      </c>
      <c r="AA8" s="102" t="s">
        <v>440</v>
      </c>
      <c r="AB8" s="102">
        <v>1</v>
      </c>
      <c r="AC8" s="102">
        <v>2</v>
      </c>
      <c r="AD8" s="102">
        <v>3</v>
      </c>
      <c r="AE8" s="102">
        <v>4</v>
      </c>
      <c r="AF8" s="102">
        <v>5</v>
      </c>
      <c r="AG8" s="102">
        <v>6</v>
      </c>
    </row>
    <row r="9" spans="2:33" ht="27" customHeight="1" thickBot="1" x14ac:dyDescent="0.3">
      <c r="B9" s="184" t="s">
        <v>22</v>
      </c>
      <c r="C9" s="29">
        <f>SUM(C10:C34)</f>
        <v>24927</v>
      </c>
      <c r="D9" s="30">
        <f>SUM(D10:D34)</f>
        <v>9903</v>
      </c>
      <c r="E9" s="30">
        <f>SUM(E10:E34)</f>
        <v>3691</v>
      </c>
      <c r="F9" s="467">
        <f>SUM(AA9/C9)</f>
        <v>20.839571548922855</v>
      </c>
      <c r="G9" s="268">
        <f>SUM(G10:G34)</f>
        <v>27664</v>
      </c>
      <c r="H9" s="269">
        <f>SUM(H10:H34)</f>
        <v>11166</v>
      </c>
      <c r="I9" s="269">
        <f>SUM(I10:I34)</f>
        <v>4110</v>
      </c>
      <c r="J9" s="470">
        <f>SUM(T9)/G9</f>
        <v>16.248120300751879</v>
      </c>
      <c r="K9" s="29">
        <f>SUM(K10:K34)</f>
        <v>2737</v>
      </c>
      <c r="L9" s="30">
        <f>SUM(L10:L34)</f>
        <v>1263</v>
      </c>
      <c r="M9" s="30">
        <f>SUM(M10:M34)</f>
        <v>419</v>
      </c>
      <c r="N9" s="467">
        <f>J9-F9</f>
        <v>-4.5914512481709764</v>
      </c>
      <c r="O9" s="270">
        <f>SUM(K9)/C9*100</f>
        <v>10.980061780398763</v>
      </c>
      <c r="P9" s="271">
        <f>SUM(L9)/D9*100</f>
        <v>12.753710996667678</v>
      </c>
      <c r="Q9" s="271">
        <f>SUM(M9)/E9*100</f>
        <v>11.35193714440531</v>
      </c>
      <c r="R9" s="272">
        <f>N9/F9*100</f>
        <v>-22.032368743244611</v>
      </c>
      <c r="T9" s="14">
        <f>SUM(U9:Z9)</f>
        <v>449488</v>
      </c>
      <c r="U9" s="14">
        <f t="shared" ref="U9:Z9" si="0">SUM(U10:U34)</f>
        <v>79529</v>
      </c>
      <c r="V9" s="14">
        <f t="shared" si="0"/>
        <v>78858</v>
      </c>
      <c r="W9" s="14">
        <f t="shared" si="0"/>
        <v>76716</v>
      </c>
      <c r="X9" s="14">
        <f t="shared" si="0"/>
        <v>74030</v>
      </c>
      <c r="Y9" s="14">
        <f t="shared" si="0"/>
        <v>71339</v>
      </c>
      <c r="Z9" s="14">
        <f t="shared" si="0"/>
        <v>69016</v>
      </c>
      <c r="AA9" s="14">
        <f>SUM(AB9:AG9)</f>
        <v>519468</v>
      </c>
      <c r="AB9" s="14">
        <f t="shared" ref="AB9:AG9" si="1">SUM(AB10:AB34)</f>
        <v>90385</v>
      </c>
      <c r="AC9" s="14">
        <f t="shared" si="1"/>
        <v>90663</v>
      </c>
      <c r="AD9" s="14">
        <f t="shared" si="1"/>
        <v>88423</v>
      </c>
      <c r="AE9" s="14">
        <f t="shared" si="1"/>
        <v>85794</v>
      </c>
      <c r="AF9" s="14">
        <f t="shared" si="1"/>
        <v>83259</v>
      </c>
      <c r="AG9" s="14">
        <f t="shared" si="1"/>
        <v>80944</v>
      </c>
    </row>
    <row r="10" spans="2:33" x14ac:dyDescent="0.25">
      <c r="B10" s="186" t="s">
        <v>23</v>
      </c>
      <c r="C10" s="42">
        <v>290</v>
      </c>
      <c r="D10" s="124">
        <v>174</v>
      </c>
      <c r="E10" s="124">
        <v>77</v>
      </c>
      <c r="F10" s="446">
        <f>SUM(AA10/C10)</f>
        <v>26.075862068965517</v>
      </c>
      <c r="G10" s="42">
        <f>SUM(T.XX!C10)</f>
        <v>299</v>
      </c>
      <c r="H10" s="124">
        <f>SUM(T.XX!D10)</f>
        <v>217</v>
      </c>
      <c r="I10" s="124">
        <f>SUM(T.XX!E10)</f>
        <v>64</v>
      </c>
      <c r="J10" s="446">
        <f t="shared" ref="J10:J34" si="2">SUM(T10)/G10</f>
        <v>22.839464882943144</v>
      </c>
      <c r="K10" s="42">
        <f>SUM(G10)-C10</f>
        <v>9</v>
      </c>
      <c r="L10" s="124">
        <f t="shared" ref="L10:L34" si="3">SUM(H10)-D10</f>
        <v>43</v>
      </c>
      <c r="M10" s="124">
        <f t="shared" ref="M10:M34" si="4">SUM(I10)-E10</f>
        <v>-13</v>
      </c>
      <c r="N10" s="446">
        <f t="shared" ref="N10:N34" si="5">J10-F10</f>
        <v>-3.2363971860223728</v>
      </c>
      <c r="O10" s="266">
        <f>SUM(K10)/C10*100</f>
        <v>3.103448275862069</v>
      </c>
      <c r="P10" s="267">
        <f t="shared" ref="P10:P34" si="6">SUM(L10)/D10*100</f>
        <v>24.712643678160919</v>
      </c>
      <c r="Q10" s="267">
        <f t="shared" ref="Q10:Q34" si="7">SUM(M10)/E10*100</f>
        <v>-16.883116883116884</v>
      </c>
      <c r="R10" s="43">
        <f>N10/F10*100</f>
        <v>-12.41146765335213</v>
      </c>
      <c r="T10" s="14">
        <f t="shared" ref="T10:T34" si="8">SUM(U10:Z10)</f>
        <v>6829</v>
      </c>
      <c r="U10" s="531">
        <v>1225</v>
      </c>
      <c r="V10" s="531">
        <v>1190</v>
      </c>
      <c r="W10" s="531">
        <v>1180</v>
      </c>
      <c r="X10" s="531">
        <v>1138</v>
      </c>
      <c r="Y10" s="531">
        <v>1063</v>
      </c>
      <c r="Z10" s="531">
        <v>1033</v>
      </c>
      <c r="AA10" s="14">
        <f t="shared" ref="AA10:AA34" si="9">SUM(AB10:AG10)</f>
        <v>7562</v>
      </c>
      <c r="AB10" s="531">
        <v>1333</v>
      </c>
      <c r="AC10" s="531">
        <v>1320</v>
      </c>
      <c r="AD10" s="531">
        <v>1280</v>
      </c>
      <c r="AE10" s="531">
        <v>1268</v>
      </c>
      <c r="AF10" s="531">
        <v>1204</v>
      </c>
      <c r="AG10" s="531">
        <v>1157</v>
      </c>
    </row>
    <row r="11" spans="2:33" x14ac:dyDescent="0.25">
      <c r="B11" s="202" t="s">
        <v>24</v>
      </c>
      <c r="C11" s="13">
        <v>477</v>
      </c>
      <c r="D11" s="14">
        <v>404</v>
      </c>
      <c r="E11" s="14">
        <v>120</v>
      </c>
      <c r="F11" s="449">
        <f t="shared" ref="F11:F34" si="10">SUM(AA11/C11)</f>
        <v>54.886792452830186</v>
      </c>
      <c r="G11" s="13">
        <f>SUM(T.XX!C11)</f>
        <v>462</v>
      </c>
      <c r="H11" s="14">
        <f>SUM(T.XX!D11)</f>
        <v>417</v>
      </c>
      <c r="I11" s="14">
        <f>SUM(T.XX!E11)</f>
        <v>142</v>
      </c>
      <c r="J11" s="449">
        <f t="shared" si="2"/>
        <v>53.876623376623378</v>
      </c>
      <c r="K11" s="13">
        <f t="shared" ref="K11:K34" si="11">SUM(G11)-C11</f>
        <v>-15</v>
      </c>
      <c r="L11" s="14">
        <f t="shared" si="3"/>
        <v>13</v>
      </c>
      <c r="M11" s="14">
        <f t="shared" si="4"/>
        <v>22</v>
      </c>
      <c r="N11" s="450">
        <f t="shared" si="5"/>
        <v>-1.0101690762068074</v>
      </c>
      <c r="O11" s="208">
        <f t="shared" ref="O11:O34" si="12">SUM(K11)/C11*100</f>
        <v>-3.1446540880503147</v>
      </c>
      <c r="P11" s="96">
        <f t="shared" si="6"/>
        <v>3.217821782178218</v>
      </c>
      <c r="Q11" s="96">
        <f t="shared" si="7"/>
        <v>18.333333333333332</v>
      </c>
      <c r="R11" s="37">
        <f t="shared" ref="R11:R34" si="13">N11/F11*100</f>
        <v>-1.8404593000674045</v>
      </c>
      <c r="T11" s="14">
        <f t="shared" si="8"/>
        <v>24891</v>
      </c>
      <c r="U11" s="531">
        <v>4413</v>
      </c>
      <c r="V11" s="531">
        <v>4329</v>
      </c>
      <c r="W11" s="531">
        <v>4175</v>
      </c>
      <c r="X11" s="531">
        <v>4075</v>
      </c>
      <c r="Y11" s="531">
        <v>3995</v>
      </c>
      <c r="Z11" s="531">
        <v>3904</v>
      </c>
      <c r="AA11" s="14">
        <f t="shared" si="9"/>
        <v>26181</v>
      </c>
      <c r="AB11" s="531">
        <v>4594</v>
      </c>
      <c r="AC11" s="531">
        <v>4552</v>
      </c>
      <c r="AD11" s="531">
        <v>4475</v>
      </c>
      <c r="AE11" s="531">
        <v>4331</v>
      </c>
      <c r="AF11" s="531">
        <v>4172</v>
      </c>
      <c r="AG11" s="531">
        <v>4057</v>
      </c>
    </row>
    <row r="12" spans="2:33" x14ac:dyDescent="0.25">
      <c r="B12" s="202" t="s">
        <v>25</v>
      </c>
      <c r="C12" s="13">
        <v>1958</v>
      </c>
      <c r="D12" s="14">
        <v>388</v>
      </c>
      <c r="E12" s="14">
        <v>110</v>
      </c>
      <c r="F12" s="449">
        <f t="shared" si="10"/>
        <v>10.441777323799796</v>
      </c>
      <c r="G12" s="13">
        <f>SUM(T.XX!C12)</f>
        <v>2304</v>
      </c>
      <c r="H12" s="14">
        <f>SUM(T.XX!D12)</f>
        <v>379</v>
      </c>
      <c r="I12" s="14">
        <f>SUM(T.XX!E12)</f>
        <v>124</v>
      </c>
      <c r="J12" s="873">
        <f>SUM(T12)/G12</f>
        <v>6.8077256944444446</v>
      </c>
      <c r="K12" s="13">
        <f t="shared" si="11"/>
        <v>346</v>
      </c>
      <c r="L12" s="14">
        <f t="shared" si="3"/>
        <v>-9</v>
      </c>
      <c r="M12" s="14">
        <f t="shared" si="4"/>
        <v>14</v>
      </c>
      <c r="N12" s="450">
        <f t="shared" si="5"/>
        <v>-3.6340516293553513</v>
      </c>
      <c r="O12" s="208">
        <f t="shared" si="12"/>
        <v>17.671092951991831</v>
      </c>
      <c r="P12" s="96">
        <f t="shared" si="6"/>
        <v>-2.3195876288659796</v>
      </c>
      <c r="Q12" s="96">
        <f t="shared" si="7"/>
        <v>12.727272727272727</v>
      </c>
      <c r="R12" s="37">
        <f t="shared" si="13"/>
        <v>-34.802998729654085</v>
      </c>
      <c r="T12" s="14">
        <f t="shared" si="8"/>
        <v>15685</v>
      </c>
      <c r="U12" s="531">
        <v>2795</v>
      </c>
      <c r="V12" s="531">
        <v>2782</v>
      </c>
      <c r="W12" s="531">
        <v>2666</v>
      </c>
      <c r="X12" s="531">
        <v>2583</v>
      </c>
      <c r="Y12" s="531">
        <v>2465</v>
      </c>
      <c r="Z12" s="531">
        <v>2394</v>
      </c>
      <c r="AA12" s="14">
        <f t="shared" si="9"/>
        <v>20445</v>
      </c>
      <c r="AB12" s="531">
        <v>3719</v>
      </c>
      <c r="AC12" s="531">
        <v>3665</v>
      </c>
      <c r="AD12" s="531">
        <v>3513</v>
      </c>
      <c r="AE12" s="531">
        <v>3341</v>
      </c>
      <c r="AF12" s="531">
        <v>3172</v>
      </c>
      <c r="AG12" s="531">
        <v>3035</v>
      </c>
    </row>
    <row r="13" spans="2:33" x14ac:dyDescent="0.25">
      <c r="B13" s="202" t="s">
        <v>26</v>
      </c>
      <c r="C13" s="13">
        <v>1326</v>
      </c>
      <c r="D13" s="14">
        <v>690</v>
      </c>
      <c r="E13" s="14">
        <v>211</v>
      </c>
      <c r="F13" s="449">
        <f t="shared" si="10"/>
        <v>27.93815987933635</v>
      </c>
      <c r="G13" s="13">
        <f>SUM(T.XX!C13)</f>
        <v>1472</v>
      </c>
      <c r="H13" s="14">
        <f>SUM(T.XX!D13)</f>
        <v>921</v>
      </c>
      <c r="I13" s="14">
        <f>SUM(T.XX!E13)</f>
        <v>274</v>
      </c>
      <c r="J13" s="449">
        <f t="shared" si="2"/>
        <v>20.947690217391305</v>
      </c>
      <c r="K13" s="13">
        <f t="shared" si="11"/>
        <v>146</v>
      </c>
      <c r="L13" s="14">
        <f t="shared" si="3"/>
        <v>231</v>
      </c>
      <c r="M13" s="14">
        <f t="shared" si="4"/>
        <v>63</v>
      </c>
      <c r="N13" s="450">
        <f t="shared" si="5"/>
        <v>-6.9904696619450455</v>
      </c>
      <c r="O13" s="208">
        <f t="shared" si="12"/>
        <v>11.010558069381599</v>
      </c>
      <c r="P13" s="96">
        <f t="shared" si="6"/>
        <v>33.478260869565219</v>
      </c>
      <c r="Q13" s="96">
        <f t="shared" si="7"/>
        <v>29.857819905213269</v>
      </c>
      <c r="R13" s="37">
        <f t="shared" si="13"/>
        <v>-25.021224347403582</v>
      </c>
      <c r="T13" s="14">
        <f t="shared" si="8"/>
        <v>30835</v>
      </c>
      <c r="U13" s="531">
        <v>5559</v>
      </c>
      <c r="V13" s="531">
        <v>5513</v>
      </c>
      <c r="W13" s="531">
        <v>5247</v>
      </c>
      <c r="X13" s="531">
        <v>5026</v>
      </c>
      <c r="Y13" s="531">
        <v>4844</v>
      </c>
      <c r="Z13" s="531">
        <v>4646</v>
      </c>
      <c r="AA13" s="14">
        <f>SUM(AB13:AG13)</f>
        <v>37046</v>
      </c>
      <c r="AB13" s="531">
        <v>6302</v>
      </c>
      <c r="AC13" s="531">
        <v>6405</v>
      </c>
      <c r="AD13" s="531">
        <v>6316</v>
      </c>
      <c r="AE13" s="531">
        <v>6164</v>
      </c>
      <c r="AF13" s="531">
        <v>6030</v>
      </c>
      <c r="AG13" s="531">
        <v>5829</v>
      </c>
    </row>
    <row r="14" spans="2:33" x14ac:dyDescent="0.25">
      <c r="B14" s="202" t="s">
        <v>27</v>
      </c>
      <c r="C14" s="13">
        <v>701</v>
      </c>
      <c r="D14" s="14">
        <v>463</v>
      </c>
      <c r="E14" s="14">
        <v>143</v>
      </c>
      <c r="F14" s="449">
        <f t="shared" si="10"/>
        <v>49.175463623395153</v>
      </c>
      <c r="G14" s="13">
        <f>SUM(T.XX!C14)</f>
        <v>1276</v>
      </c>
      <c r="H14" s="14">
        <f>SUM(T.XX!D14)</f>
        <v>674</v>
      </c>
      <c r="I14" s="14">
        <f>SUM(T.XX!E14)</f>
        <v>198</v>
      </c>
      <c r="J14" s="449">
        <f t="shared" si="2"/>
        <v>24.460815047021942</v>
      </c>
      <c r="K14" s="13">
        <f t="shared" si="11"/>
        <v>575</v>
      </c>
      <c r="L14" s="14">
        <f t="shared" si="3"/>
        <v>211</v>
      </c>
      <c r="M14" s="14">
        <f t="shared" si="4"/>
        <v>55</v>
      </c>
      <c r="N14" s="450">
        <f t="shared" si="5"/>
        <v>-24.714648576373211</v>
      </c>
      <c r="O14" s="208">
        <f t="shared" si="12"/>
        <v>82.025677603423688</v>
      </c>
      <c r="P14" s="96">
        <f t="shared" si="6"/>
        <v>45.572354211663068</v>
      </c>
      <c r="Q14" s="96">
        <f t="shared" si="7"/>
        <v>38.461538461538467</v>
      </c>
      <c r="R14" s="37">
        <f t="shared" si="13"/>
        <v>-50.258089614868936</v>
      </c>
      <c r="T14" s="14">
        <f>SUM(U14:Z14)</f>
        <v>31212</v>
      </c>
      <c r="U14" s="531">
        <v>5537</v>
      </c>
      <c r="V14" s="531">
        <v>5495</v>
      </c>
      <c r="W14" s="531">
        <v>5349</v>
      </c>
      <c r="X14" s="531">
        <v>5153</v>
      </c>
      <c r="Y14" s="531">
        <v>4908</v>
      </c>
      <c r="Z14" s="531">
        <v>4770</v>
      </c>
      <c r="AA14" s="14">
        <f t="shared" si="9"/>
        <v>34472</v>
      </c>
      <c r="AB14" s="531">
        <v>5802</v>
      </c>
      <c r="AC14" s="531">
        <v>5868</v>
      </c>
      <c r="AD14" s="531">
        <v>5827</v>
      </c>
      <c r="AE14" s="531">
        <v>5752</v>
      </c>
      <c r="AF14" s="531">
        <v>5642</v>
      </c>
      <c r="AG14" s="531">
        <v>5581</v>
      </c>
    </row>
    <row r="15" spans="2:33" x14ac:dyDescent="0.25">
      <c r="B15" s="202" t="s">
        <v>28</v>
      </c>
      <c r="C15" s="13">
        <v>712</v>
      </c>
      <c r="D15" s="14">
        <v>376</v>
      </c>
      <c r="E15" s="14">
        <v>90</v>
      </c>
      <c r="F15" s="449">
        <f t="shared" si="10"/>
        <v>17.389044943820224</v>
      </c>
      <c r="G15" s="13">
        <f>SUM(T.XX!C15)</f>
        <v>709</v>
      </c>
      <c r="H15" s="14">
        <f>SUM(T.XX!D15)</f>
        <v>319</v>
      </c>
      <c r="I15" s="14">
        <f>SUM(T.XX!E15)</f>
        <v>75</v>
      </c>
      <c r="J15" s="449">
        <f t="shared" si="2"/>
        <v>14.820874471086036</v>
      </c>
      <c r="K15" s="13">
        <f t="shared" si="11"/>
        <v>-3</v>
      </c>
      <c r="L15" s="14">
        <f t="shared" si="3"/>
        <v>-57</v>
      </c>
      <c r="M15" s="14">
        <f t="shared" si="4"/>
        <v>-15</v>
      </c>
      <c r="N15" s="450">
        <f t="shared" si="5"/>
        <v>-2.5681704727341881</v>
      </c>
      <c r="O15" s="208">
        <f t="shared" si="12"/>
        <v>-0.42134831460674155</v>
      </c>
      <c r="P15" s="96">
        <f t="shared" si="6"/>
        <v>-15.159574468085108</v>
      </c>
      <c r="Q15" s="96">
        <f t="shared" si="7"/>
        <v>-16.666666666666664</v>
      </c>
      <c r="R15" s="37">
        <f t="shared" si="13"/>
        <v>-14.768898930512414</v>
      </c>
      <c r="T15" s="14">
        <f t="shared" si="8"/>
        <v>10508</v>
      </c>
      <c r="U15" s="531">
        <v>1807</v>
      </c>
      <c r="V15" s="531">
        <v>1845</v>
      </c>
      <c r="W15" s="531">
        <v>1827</v>
      </c>
      <c r="X15" s="531">
        <v>1751</v>
      </c>
      <c r="Y15" s="531">
        <v>1657</v>
      </c>
      <c r="Z15" s="531">
        <v>1621</v>
      </c>
      <c r="AA15" s="14">
        <f t="shared" si="9"/>
        <v>12381</v>
      </c>
      <c r="AB15" s="531">
        <v>2222</v>
      </c>
      <c r="AC15" s="531">
        <v>2201</v>
      </c>
      <c r="AD15" s="531">
        <v>2111</v>
      </c>
      <c r="AE15" s="531">
        <v>2030</v>
      </c>
      <c r="AF15" s="531">
        <v>1967</v>
      </c>
      <c r="AG15" s="531">
        <v>1850</v>
      </c>
    </row>
    <row r="16" spans="2:33" x14ac:dyDescent="0.25">
      <c r="B16" s="202" t="s">
        <v>29</v>
      </c>
      <c r="C16" s="13">
        <v>508</v>
      </c>
      <c r="D16" s="14">
        <v>182</v>
      </c>
      <c r="E16" s="14">
        <v>50</v>
      </c>
      <c r="F16" s="449">
        <f t="shared" si="10"/>
        <v>29.165354330708663</v>
      </c>
      <c r="G16" s="13">
        <f>SUM(T.XX!C16)</f>
        <v>530</v>
      </c>
      <c r="H16" s="14">
        <f>SUM(T.XX!D16)</f>
        <v>221</v>
      </c>
      <c r="I16" s="14">
        <f>SUM(T.XX!E16)</f>
        <v>58</v>
      </c>
      <c r="J16" s="449">
        <f t="shared" si="2"/>
        <v>22.735849056603772</v>
      </c>
      <c r="K16" s="13">
        <f t="shared" si="11"/>
        <v>22</v>
      </c>
      <c r="L16" s="14">
        <f t="shared" si="3"/>
        <v>39</v>
      </c>
      <c r="M16" s="14">
        <f t="shared" si="4"/>
        <v>8</v>
      </c>
      <c r="N16" s="450">
        <f t="shared" si="5"/>
        <v>-6.4295052741048906</v>
      </c>
      <c r="O16" s="208">
        <f t="shared" si="12"/>
        <v>4.3307086614173231</v>
      </c>
      <c r="P16" s="96">
        <f t="shared" si="6"/>
        <v>21.428571428571427</v>
      </c>
      <c r="Q16" s="96">
        <f t="shared" si="7"/>
        <v>16</v>
      </c>
      <c r="R16" s="37">
        <f t="shared" si="13"/>
        <v>-22.04500998410694</v>
      </c>
      <c r="T16" s="14">
        <f t="shared" si="8"/>
        <v>12050</v>
      </c>
      <c r="U16" s="531">
        <v>2120</v>
      </c>
      <c r="V16" s="531">
        <v>2129</v>
      </c>
      <c r="W16" s="531">
        <v>2077</v>
      </c>
      <c r="X16" s="531">
        <v>1983</v>
      </c>
      <c r="Y16" s="531">
        <v>1917</v>
      </c>
      <c r="Z16" s="531">
        <v>1824</v>
      </c>
      <c r="AA16" s="14">
        <f t="shared" si="9"/>
        <v>14816</v>
      </c>
      <c r="AB16" s="531">
        <v>2512</v>
      </c>
      <c r="AC16" s="531">
        <v>2577</v>
      </c>
      <c r="AD16" s="531">
        <v>2529</v>
      </c>
      <c r="AE16" s="531">
        <v>2502</v>
      </c>
      <c r="AF16" s="531">
        <v>2429</v>
      </c>
      <c r="AG16" s="531">
        <v>2267</v>
      </c>
    </row>
    <row r="17" spans="2:33" x14ac:dyDescent="0.25">
      <c r="B17" s="202" t="s">
        <v>30</v>
      </c>
      <c r="C17" s="13">
        <v>379</v>
      </c>
      <c r="D17" s="14">
        <v>125</v>
      </c>
      <c r="E17" s="14">
        <v>26</v>
      </c>
      <c r="F17" s="449">
        <f t="shared" si="10"/>
        <v>28.75461741424802</v>
      </c>
      <c r="G17" s="13">
        <f>SUM(T.XX!C17)</f>
        <v>312</v>
      </c>
      <c r="H17" s="14">
        <f>SUM(T.XX!D17)</f>
        <v>147</v>
      </c>
      <c r="I17" s="14">
        <f>SUM(T.XX!E17)</f>
        <v>42</v>
      </c>
      <c r="J17" s="449">
        <f t="shared" si="2"/>
        <v>32.833333333333336</v>
      </c>
      <c r="K17" s="13">
        <f t="shared" si="11"/>
        <v>-67</v>
      </c>
      <c r="L17" s="14">
        <f t="shared" si="3"/>
        <v>22</v>
      </c>
      <c r="M17" s="14">
        <f t="shared" si="4"/>
        <v>16</v>
      </c>
      <c r="N17" s="450">
        <f t="shared" si="5"/>
        <v>4.0787159190853153</v>
      </c>
      <c r="O17" s="208">
        <f t="shared" si="12"/>
        <v>-17.678100263852244</v>
      </c>
      <c r="P17" s="96">
        <f t="shared" si="6"/>
        <v>17.599999999999998</v>
      </c>
      <c r="Q17" s="96">
        <f t="shared" si="7"/>
        <v>61.53846153846154</v>
      </c>
      <c r="R17" s="37">
        <f t="shared" si="13"/>
        <v>14.184559858077947</v>
      </c>
      <c r="T17" s="14">
        <f t="shared" si="8"/>
        <v>10244</v>
      </c>
      <c r="U17" s="531">
        <v>1816</v>
      </c>
      <c r="V17" s="531">
        <v>1773</v>
      </c>
      <c r="W17" s="531">
        <v>1761</v>
      </c>
      <c r="X17" s="531">
        <v>1725</v>
      </c>
      <c r="Y17" s="531">
        <v>1609</v>
      </c>
      <c r="Z17" s="531">
        <v>1560</v>
      </c>
      <c r="AA17" s="14">
        <f t="shared" si="9"/>
        <v>10898</v>
      </c>
      <c r="AB17" s="531">
        <v>1970</v>
      </c>
      <c r="AC17" s="531">
        <v>1937</v>
      </c>
      <c r="AD17" s="531">
        <v>1880</v>
      </c>
      <c r="AE17" s="531">
        <v>1809</v>
      </c>
      <c r="AF17" s="531">
        <v>1700</v>
      </c>
      <c r="AG17" s="531">
        <v>1602</v>
      </c>
    </row>
    <row r="18" spans="2:33" x14ac:dyDescent="0.25">
      <c r="B18" s="202" t="s">
        <v>31</v>
      </c>
      <c r="C18" s="13">
        <v>847</v>
      </c>
      <c r="D18" s="14">
        <v>412</v>
      </c>
      <c r="E18" s="14">
        <v>108</v>
      </c>
      <c r="F18" s="449">
        <f t="shared" si="10"/>
        <v>27.5655253837072</v>
      </c>
      <c r="G18" s="13">
        <f>SUM(T.XX!C18)</f>
        <v>1024</v>
      </c>
      <c r="H18" s="14">
        <f>SUM(T.XX!D18)</f>
        <v>429</v>
      </c>
      <c r="I18" s="14">
        <f>SUM(T.XX!E18)</f>
        <v>119</v>
      </c>
      <c r="J18" s="449">
        <f t="shared" si="2"/>
        <v>20.6904296875</v>
      </c>
      <c r="K18" s="13">
        <f t="shared" si="11"/>
        <v>177</v>
      </c>
      <c r="L18" s="14">
        <f t="shared" si="3"/>
        <v>17</v>
      </c>
      <c r="M18" s="14">
        <f t="shared" si="4"/>
        <v>11</v>
      </c>
      <c r="N18" s="450">
        <f t="shared" si="5"/>
        <v>-6.8750956962072003</v>
      </c>
      <c r="O18" s="208">
        <f t="shared" si="12"/>
        <v>20.897284533648168</v>
      </c>
      <c r="P18" s="96">
        <f t="shared" si="6"/>
        <v>4.1262135922330101</v>
      </c>
      <c r="Q18" s="96">
        <f t="shared" si="7"/>
        <v>10.185185185185185</v>
      </c>
      <c r="R18" s="37">
        <f t="shared" si="13"/>
        <v>-24.940920227374932</v>
      </c>
      <c r="T18" s="14">
        <f t="shared" si="8"/>
        <v>21187</v>
      </c>
      <c r="U18" s="531">
        <v>3754</v>
      </c>
      <c r="V18" s="531">
        <v>3708</v>
      </c>
      <c r="W18" s="531">
        <v>3578</v>
      </c>
      <c r="X18" s="531">
        <v>3473</v>
      </c>
      <c r="Y18" s="531">
        <v>3391</v>
      </c>
      <c r="Z18" s="531">
        <v>3283</v>
      </c>
      <c r="AA18" s="14">
        <f t="shared" si="9"/>
        <v>23348</v>
      </c>
      <c r="AB18" s="531">
        <v>4046</v>
      </c>
      <c r="AC18" s="531">
        <v>4058</v>
      </c>
      <c r="AD18" s="531">
        <v>3933</v>
      </c>
      <c r="AE18" s="531">
        <v>3823</v>
      </c>
      <c r="AF18" s="531">
        <v>3766</v>
      </c>
      <c r="AG18" s="531">
        <v>3722</v>
      </c>
    </row>
    <row r="19" spans="2:33" x14ac:dyDescent="0.25">
      <c r="B19" s="202" t="s">
        <v>32</v>
      </c>
      <c r="C19" s="13">
        <v>538</v>
      </c>
      <c r="D19" s="14">
        <v>385</v>
      </c>
      <c r="E19" s="14">
        <v>153</v>
      </c>
      <c r="F19" s="449">
        <f t="shared" si="10"/>
        <v>24.815985130111525</v>
      </c>
      <c r="G19" s="13">
        <f>SUM(T.XX!C19)</f>
        <v>587</v>
      </c>
      <c r="H19" s="14">
        <f>SUM(T.XX!D19)</f>
        <v>404</v>
      </c>
      <c r="I19" s="14">
        <f>SUM(T.XX!E19)</f>
        <v>148</v>
      </c>
      <c r="J19" s="449">
        <f t="shared" si="2"/>
        <v>19.660988074957409</v>
      </c>
      <c r="K19" s="13">
        <f t="shared" si="11"/>
        <v>49</v>
      </c>
      <c r="L19" s="14">
        <f t="shared" si="3"/>
        <v>19</v>
      </c>
      <c r="M19" s="14">
        <f t="shared" si="4"/>
        <v>-5</v>
      </c>
      <c r="N19" s="450">
        <f t="shared" si="5"/>
        <v>-5.1549970551541158</v>
      </c>
      <c r="O19" s="208">
        <f t="shared" si="12"/>
        <v>9.1078066914498148</v>
      </c>
      <c r="P19" s="96">
        <f t="shared" si="6"/>
        <v>4.9350649350649354</v>
      </c>
      <c r="Q19" s="96">
        <f t="shared" si="7"/>
        <v>-3.2679738562091507</v>
      </c>
      <c r="R19" s="37">
        <f t="shared" si="13"/>
        <v>-20.772889039569428</v>
      </c>
      <c r="T19" s="14">
        <f t="shared" si="8"/>
        <v>11541</v>
      </c>
      <c r="U19" s="531">
        <v>2142</v>
      </c>
      <c r="V19" s="531">
        <v>2087</v>
      </c>
      <c r="W19" s="531">
        <v>1990</v>
      </c>
      <c r="X19" s="531">
        <v>1886</v>
      </c>
      <c r="Y19" s="531">
        <v>1767</v>
      </c>
      <c r="Z19" s="531">
        <v>1669</v>
      </c>
      <c r="AA19" s="14">
        <f t="shared" si="9"/>
        <v>13351</v>
      </c>
      <c r="AB19" s="531">
        <v>2429</v>
      </c>
      <c r="AC19" s="531">
        <v>2418</v>
      </c>
      <c r="AD19" s="531">
        <v>2253</v>
      </c>
      <c r="AE19" s="531">
        <v>2208</v>
      </c>
      <c r="AF19" s="531">
        <v>2078</v>
      </c>
      <c r="AG19" s="531">
        <v>1965</v>
      </c>
    </row>
    <row r="20" spans="2:33" x14ac:dyDescent="0.25">
      <c r="B20" s="202" t="s">
        <v>33</v>
      </c>
      <c r="C20" s="13">
        <v>768</v>
      </c>
      <c r="D20" s="14">
        <v>502</v>
      </c>
      <c r="E20" s="14">
        <v>180</v>
      </c>
      <c r="F20" s="449">
        <f t="shared" si="10"/>
        <v>28.41015625</v>
      </c>
      <c r="G20" s="13">
        <f>SUM(T.XX!C20)</f>
        <v>748</v>
      </c>
      <c r="H20" s="14">
        <f>SUM(T.XX!D20)</f>
        <v>453</v>
      </c>
      <c r="I20" s="14">
        <f>SUM(T.XX!E20)</f>
        <v>192</v>
      </c>
      <c r="J20" s="449">
        <f t="shared" si="2"/>
        <v>25.505347593582886</v>
      </c>
      <c r="K20" s="13">
        <f t="shared" si="11"/>
        <v>-20</v>
      </c>
      <c r="L20" s="14">
        <f t="shared" si="3"/>
        <v>-49</v>
      </c>
      <c r="M20" s="14">
        <f t="shared" si="4"/>
        <v>12</v>
      </c>
      <c r="N20" s="450">
        <f t="shared" si="5"/>
        <v>-2.9048086564171136</v>
      </c>
      <c r="O20" s="208">
        <f t="shared" si="12"/>
        <v>-2.604166666666667</v>
      </c>
      <c r="P20" s="96">
        <f t="shared" si="6"/>
        <v>-9.760956175298805</v>
      </c>
      <c r="Q20" s="96">
        <f t="shared" si="7"/>
        <v>6.666666666666667</v>
      </c>
      <c r="R20" s="37">
        <f t="shared" si="13"/>
        <v>-10.224543050223858</v>
      </c>
      <c r="T20" s="14">
        <f t="shared" si="8"/>
        <v>19078</v>
      </c>
      <c r="U20" s="531">
        <v>3400</v>
      </c>
      <c r="V20" s="531">
        <v>3383</v>
      </c>
      <c r="W20" s="531">
        <v>3304</v>
      </c>
      <c r="X20" s="531">
        <v>3143</v>
      </c>
      <c r="Y20" s="531">
        <v>2990</v>
      </c>
      <c r="Z20" s="531">
        <v>2858</v>
      </c>
      <c r="AA20" s="14">
        <f t="shared" si="9"/>
        <v>21819</v>
      </c>
      <c r="AB20" s="531">
        <v>3772</v>
      </c>
      <c r="AC20" s="531">
        <v>3843</v>
      </c>
      <c r="AD20" s="531">
        <v>3738</v>
      </c>
      <c r="AE20" s="531">
        <v>3578</v>
      </c>
      <c r="AF20" s="531">
        <v>3469</v>
      </c>
      <c r="AG20" s="531">
        <v>3419</v>
      </c>
    </row>
    <row r="21" spans="2:33" x14ac:dyDescent="0.25">
      <c r="B21" s="202" t="s">
        <v>34</v>
      </c>
      <c r="C21" s="13">
        <v>3754</v>
      </c>
      <c r="D21" s="14">
        <v>827</v>
      </c>
      <c r="E21" s="14">
        <v>223</v>
      </c>
      <c r="F21" s="449">
        <f t="shared" si="10"/>
        <v>5.5135855087906229</v>
      </c>
      <c r="G21" s="13">
        <f>SUM(T.XX!C21)</f>
        <v>2908</v>
      </c>
      <c r="H21" s="14">
        <f>SUM(T.XX!D21)</f>
        <v>880</v>
      </c>
      <c r="I21" s="14">
        <f>SUM(T.XX!E21)</f>
        <v>178</v>
      </c>
      <c r="J21" s="873">
        <f t="shared" si="2"/>
        <v>5.6887895460797795</v>
      </c>
      <c r="K21" s="13">
        <f t="shared" si="11"/>
        <v>-846</v>
      </c>
      <c r="L21" s="14">
        <f t="shared" si="3"/>
        <v>53</v>
      </c>
      <c r="M21" s="14">
        <f t="shared" si="4"/>
        <v>-45</v>
      </c>
      <c r="N21" s="450">
        <f t="shared" si="5"/>
        <v>0.17520403728915657</v>
      </c>
      <c r="O21" s="208">
        <f t="shared" si="12"/>
        <v>-22.535961640916355</v>
      </c>
      <c r="P21" s="96">
        <f t="shared" si="6"/>
        <v>6.4087061668681988</v>
      </c>
      <c r="Q21" s="96">
        <f t="shared" si="7"/>
        <v>-20.179372197309416</v>
      </c>
      <c r="R21" s="37">
        <f t="shared" si="13"/>
        <v>3.1776787901415298</v>
      </c>
      <c r="T21" s="14">
        <f t="shared" si="8"/>
        <v>16543</v>
      </c>
      <c r="U21" s="531">
        <v>3000</v>
      </c>
      <c r="V21" s="531">
        <v>2886</v>
      </c>
      <c r="W21" s="531">
        <v>2831</v>
      </c>
      <c r="X21" s="531">
        <v>2693</v>
      </c>
      <c r="Y21" s="531">
        <v>2613</v>
      </c>
      <c r="Z21" s="531">
        <v>2520</v>
      </c>
      <c r="AA21" s="14">
        <f t="shared" si="9"/>
        <v>20698</v>
      </c>
      <c r="AB21" s="531">
        <v>3789</v>
      </c>
      <c r="AC21" s="531">
        <v>3748</v>
      </c>
      <c r="AD21" s="531">
        <v>3463</v>
      </c>
      <c r="AE21" s="531">
        <v>3319</v>
      </c>
      <c r="AF21" s="531">
        <v>3206</v>
      </c>
      <c r="AG21" s="531">
        <v>3173</v>
      </c>
    </row>
    <row r="22" spans="2:33" x14ac:dyDescent="0.25">
      <c r="B22" s="202" t="s">
        <v>35</v>
      </c>
      <c r="C22" s="13">
        <v>798</v>
      </c>
      <c r="D22" s="14">
        <v>514</v>
      </c>
      <c r="E22" s="14">
        <v>180</v>
      </c>
      <c r="F22" s="449">
        <f t="shared" si="10"/>
        <v>28.421052631578949</v>
      </c>
      <c r="G22" s="13">
        <f>SUM(T.XX!C22)</f>
        <v>760</v>
      </c>
      <c r="H22" s="14">
        <f>SUM(T.XX!D22)</f>
        <v>569</v>
      </c>
      <c r="I22" s="14">
        <f>SUM(T.XX!E22)</f>
        <v>199</v>
      </c>
      <c r="J22" s="449">
        <f t="shared" si="2"/>
        <v>26.267105263157895</v>
      </c>
      <c r="K22" s="13">
        <f t="shared" si="11"/>
        <v>-38</v>
      </c>
      <c r="L22" s="14">
        <f t="shared" si="3"/>
        <v>55</v>
      </c>
      <c r="M22" s="14">
        <f t="shared" si="4"/>
        <v>19</v>
      </c>
      <c r="N22" s="450">
        <f t="shared" si="5"/>
        <v>-2.1539473684210542</v>
      </c>
      <c r="O22" s="208">
        <f t="shared" si="12"/>
        <v>-4.7619047619047619</v>
      </c>
      <c r="P22" s="96">
        <f t="shared" si="6"/>
        <v>10.700389105058365</v>
      </c>
      <c r="Q22" s="96">
        <f t="shared" si="7"/>
        <v>10.555555555555555</v>
      </c>
      <c r="R22" s="37">
        <f t="shared" si="13"/>
        <v>-7.5787037037037086</v>
      </c>
      <c r="T22" s="14">
        <f t="shared" si="8"/>
        <v>19963</v>
      </c>
      <c r="U22" s="531">
        <v>3429</v>
      </c>
      <c r="V22" s="531">
        <v>3410</v>
      </c>
      <c r="W22" s="531">
        <v>3404</v>
      </c>
      <c r="X22" s="531">
        <v>3347</v>
      </c>
      <c r="Y22" s="531">
        <v>3236</v>
      </c>
      <c r="Z22" s="531">
        <v>3137</v>
      </c>
      <c r="AA22" s="14">
        <f t="shared" si="9"/>
        <v>22680</v>
      </c>
      <c r="AB22" s="531">
        <v>3973</v>
      </c>
      <c r="AC22" s="531">
        <v>3972</v>
      </c>
      <c r="AD22" s="531">
        <v>3898</v>
      </c>
      <c r="AE22" s="531">
        <v>3746</v>
      </c>
      <c r="AF22" s="531">
        <v>3607</v>
      </c>
      <c r="AG22" s="531">
        <v>3484</v>
      </c>
    </row>
    <row r="23" spans="2:33" x14ac:dyDescent="0.25">
      <c r="B23" s="203" t="s">
        <v>36</v>
      </c>
      <c r="C23" s="117">
        <v>318</v>
      </c>
      <c r="D23" s="118">
        <v>265</v>
      </c>
      <c r="E23" s="14">
        <v>147</v>
      </c>
      <c r="F23" s="468">
        <f t="shared" si="10"/>
        <v>71.452830188679243</v>
      </c>
      <c r="G23" s="117">
        <f>SUM(T.XX!C23)</f>
        <v>355</v>
      </c>
      <c r="H23" s="118">
        <f>SUM(T.XX!D23)</f>
        <v>279</v>
      </c>
      <c r="I23" s="14">
        <f>SUM(T.XX!E23)</f>
        <v>177</v>
      </c>
      <c r="J23" s="468">
        <f t="shared" si="2"/>
        <v>58.476056338028172</v>
      </c>
      <c r="K23" s="117">
        <f t="shared" si="11"/>
        <v>37</v>
      </c>
      <c r="L23" s="118">
        <f t="shared" si="3"/>
        <v>14</v>
      </c>
      <c r="M23" s="14">
        <f t="shared" si="4"/>
        <v>30</v>
      </c>
      <c r="N23" s="450">
        <f t="shared" si="5"/>
        <v>-12.976773850651071</v>
      </c>
      <c r="O23" s="209">
        <f t="shared" si="12"/>
        <v>11.635220125786164</v>
      </c>
      <c r="P23" s="210">
        <f>SUM(L23)/D23*100</f>
        <v>5.2830188679245289</v>
      </c>
      <c r="Q23" s="96">
        <f>SUM(M23)/E23*100</f>
        <v>20.408163265306122</v>
      </c>
      <c r="R23" s="37">
        <f t="shared" si="13"/>
        <v>-18.161315397003083</v>
      </c>
      <c r="T23" s="118">
        <f t="shared" si="8"/>
        <v>20759</v>
      </c>
      <c r="U23" s="531">
        <v>3823</v>
      </c>
      <c r="V23" s="531">
        <v>3709</v>
      </c>
      <c r="W23" s="531">
        <v>3564</v>
      </c>
      <c r="X23" s="531">
        <v>3404</v>
      </c>
      <c r="Y23" s="531">
        <v>3191</v>
      </c>
      <c r="Z23" s="531">
        <v>3068</v>
      </c>
      <c r="AA23" s="118">
        <f t="shared" si="9"/>
        <v>22722</v>
      </c>
      <c r="AB23" s="531">
        <v>3942</v>
      </c>
      <c r="AC23" s="531">
        <v>3973</v>
      </c>
      <c r="AD23" s="531">
        <v>3881</v>
      </c>
      <c r="AE23" s="531">
        <v>3736</v>
      </c>
      <c r="AF23" s="531">
        <v>3654</v>
      </c>
      <c r="AG23" s="531">
        <v>3536</v>
      </c>
    </row>
    <row r="24" spans="2:33" x14ac:dyDescent="0.25">
      <c r="B24" s="203" t="s">
        <v>37</v>
      </c>
      <c r="C24" s="117">
        <v>951</v>
      </c>
      <c r="D24" s="118">
        <v>682</v>
      </c>
      <c r="E24" s="14">
        <v>302</v>
      </c>
      <c r="F24" s="468">
        <f t="shared" si="10"/>
        <v>25.6130389064143</v>
      </c>
      <c r="G24" s="117">
        <f>SUM(T.XX!C24)</f>
        <v>1452</v>
      </c>
      <c r="H24" s="118">
        <f>SUM(T.XX!D24)</f>
        <v>850</v>
      </c>
      <c r="I24" s="14">
        <f>SUM(T.XX!E24)</f>
        <v>411</v>
      </c>
      <c r="J24" s="468">
        <f t="shared" si="2"/>
        <v>15.412534435261708</v>
      </c>
      <c r="K24" s="117">
        <f t="shared" si="11"/>
        <v>501</v>
      </c>
      <c r="L24" s="118">
        <f t="shared" si="3"/>
        <v>168</v>
      </c>
      <c r="M24" s="14">
        <f t="shared" si="4"/>
        <v>109</v>
      </c>
      <c r="N24" s="450">
        <f t="shared" si="5"/>
        <v>-10.200504471152591</v>
      </c>
      <c r="O24" s="209">
        <f t="shared" si="12"/>
        <v>52.681388012618299</v>
      </c>
      <c r="P24" s="210">
        <f t="shared" si="6"/>
        <v>24.633431085043988</v>
      </c>
      <c r="Q24" s="96">
        <f t="shared" si="7"/>
        <v>36.092715231788084</v>
      </c>
      <c r="R24" s="37">
        <f t="shared" si="13"/>
        <v>-39.825436210140872</v>
      </c>
      <c r="T24" s="118">
        <f t="shared" si="8"/>
        <v>22379</v>
      </c>
      <c r="U24" s="531">
        <v>3908</v>
      </c>
      <c r="V24" s="531">
        <v>3894</v>
      </c>
      <c r="W24" s="531">
        <v>3799</v>
      </c>
      <c r="X24" s="531">
        <v>3668</v>
      </c>
      <c r="Y24" s="531">
        <v>3612</v>
      </c>
      <c r="Z24" s="531">
        <v>3498</v>
      </c>
      <c r="AA24" s="118">
        <f t="shared" si="9"/>
        <v>24358</v>
      </c>
      <c r="AB24" s="531">
        <v>4296</v>
      </c>
      <c r="AC24" s="531">
        <v>4245</v>
      </c>
      <c r="AD24" s="531">
        <v>4162</v>
      </c>
      <c r="AE24" s="531">
        <v>4000</v>
      </c>
      <c r="AF24" s="531">
        <v>3866</v>
      </c>
      <c r="AG24" s="531">
        <v>3789</v>
      </c>
    </row>
    <row r="25" spans="2:33" x14ac:dyDescent="0.25">
      <c r="B25" s="203" t="s">
        <v>38</v>
      </c>
      <c r="C25" s="117">
        <v>886</v>
      </c>
      <c r="D25" s="118">
        <v>424</v>
      </c>
      <c r="E25" s="14">
        <v>162</v>
      </c>
      <c r="F25" s="468">
        <f t="shared" si="10"/>
        <v>24.142212189616252</v>
      </c>
      <c r="G25" s="117">
        <f>SUM(T.XX!C25)</f>
        <v>911</v>
      </c>
      <c r="H25" s="118">
        <f>SUM(T.XX!D25)</f>
        <v>450</v>
      </c>
      <c r="I25" s="14">
        <f>SUM(T.XX!E25)</f>
        <v>148</v>
      </c>
      <c r="J25" s="468">
        <f t="shared" si="2"/>
        <v>20.757409440175632</v>
      </c>
      <c r="K25" s="117">
        <f t="shared" si="11"/>
        <v>25</v>
      </c>
      <c r="L25" s="118">
        <f t="shared" si="3"/>
        <v>26</v>
      </c>
      <c r="M25" s="14">
        <f t="shared" si="4"/>
        <v>-14</v>
      </c>
      <c r="N25" s="450">
        <f t="shared" si="5"/>
        <v>-3.3848027494406203</v>
      </c>
      <c r="O25" s="209">
        <f t="shared" si="12"/>
        <v>2.8216704288939054</v>
      </c>
      <c r="P25" s="210">
        <f t="shared" si="6"/>
        <v>6.132075471698113</v>
      </c>
      <c r="Q25" s="96">
        <f t="shared" si="7"/>
        <v>-8.6419753086419746</v>
      </c>
      <c r="R25" s="37">
        <f t="shared" si="13"/>
        <v>-14.020267583003223</v>
      </c>
      <c r="T25" s="118">
        <f t="shared" si="8"/>
        <v>18910</v>
      </c>
      <c r="U25" s="531">
        <v>3305</v>
      </c>
      <c r="V25" s="531">
        <v>3274</v>
      </c>
      <c r="W25" s="531">
        <v>3197</v>
      </c>
      <c r="X25" s="531">
        <v>3099</v>
      </c>
      <c r="Y25" s="531">
        <v>3061</v>
      </c>
      <c r="Z25" s="531">
        <v>2974</v>
      </c>
      <c r="AA25" s="118">
        <f t="shared" si="9"/>
        <v>21390</v>
      </c>
      <c r="AB25" s="531">
        <v>3737</v>
      </c>
      <c r="AC25" s="531">
        <v>3700</v>
      </c>
      <c r="AD25" s="531">
        <v>3601</v>
      </c>
      <c r="AE25" s="531">
        <v>3479</v>
      </c>
      <c r="AF25" s="531">
        <v>3460</v>
      </c>
      <c r="AG25" s="531">
        <v>3413</v>
      </c>
    </row>
    <row r="26" spans="2:33" x14ac:dyDescent="0.25">
      <c r="B26" s="203" t="s">
        <v>39</v>
      </c>
      <c r="C26" s="117">
        <v>1097</v>
      </c>
      <c r="D26" s="118">
        <v>338</v>
      </c>
      <c r="E26" s="14">
        <v>124</v>
      </c>
      <c r="F26" s="468">
        <f t="shared" si="10"/>
        <v>36.416590701914309</v>
      </c>
      <c r="G26" s="117">
        <f>SUM(T.XX!C26)</f>
        <v>1222</v>
      </c>
      <c r="H26" s="118">
        <f>SUM(T.XX!D26)</f>
        <v>386</v>
      </c>
      <c r="I26" s="14">
        <f>SUM(T.XX!E26)</f>
        <v>167</v>
      </c>
      <c r="J26" s="468">
        <f t="shared" si="2"/>
        <v>26.301963993453356</v>
      </c>
      <c r="K26" s="117">
        <f t="shared" si="11"/>
        <v>125</v>
      </c>
      <c r="L26" s="118">
        <f t="shared" si="3"/>
        <v>48</v>
      </c>
      <c r="M26" s="14">
        <f t="shared" si="4"/>
        <v>43</v>
      </c>
      <c r="N26" s="450">
        <f t="shared" si="5"/>
        <v>-10.114626708460953</v>
      </c>
      <c r="O26" s="209">
        <f t="shared" si="12"/>
        <v>11.394712853236099</v>
      </c>
      <c r="P26" s="210">
        <f t="shared" si="6"/>
        <v>14.201183431952662</v>
      </c>
      <c r="Q26" s="96">
        <f t="shared" si="7"/>
        <v>34.677419354838712</v>
      </c>
      <c r="R26" s="37">
        <f t="shared" si="13"/>
        <v>-27.774776588104</v>
      </c>
      <c r="T26" s="118">
        <f t="shared" si="8"/>
        <v>32141</v>
      </c>
      <c r="U26" s="531">
        <v>5713</v>
      </c>
      <c r="V26" s="531">
        <v>5648</v>
      </c>
      <c r="W26" s="531">
        <v>5483</v>
      </c>
      <c r="X26" s="531">
        <v>5261</v>
      </c>
      <c r="Y26" s="531">
        <v>5089</v>
      </c>
      <c r="Z26" s="531">
        <v>4947</v>
      </c>
      <c r="AA26" s="118">
        <f t="shared" si="9"/>
        <v>39949</v>
      </c>
      <c r="AB26" s="531">
        <v>6818</v>
      </c>
      <c r="AC26" s="531">
        <v>6904</v>
      </c>
      <c r="AD26" s="531">
        <v>6814</v>
      </c>
      <c r="AE26" s="531">
        <v>6649</v>
      </c>
      <c r="AF26" s="531">
        <v>6479</v>
      </c>
      <c r="AG26" s="531">
        <v>6285</v>
      </c>
    </row>
    <row r="27" spans="2:33" x14ac:dyDescent="0.25">
      <c r="B27" s="203" t="s">
        <v>40</v>
      </c>
      <c r="C27" s="117">
        <v>828</v>
      </c>
      <c r="D27" s="118">
        <v>260</v>
      </c>
      <c r="E27" s="14">
        <v>87</v>
      </c>
      <c r="F27" s="468">
        <f t="shared" si="10"/>
        <v>20.896135265700483</v>
      </c>
      <c r="G27" s="117">
        <f>SUM(T.XX!C27)</f>
        <v>601</v>
      </c>
      <c r="H27" s="118">
        <f>SUM(T.XX!D27)</f>
        <v>294</v>
      </c>
      <c r="I27" s="14">
        <f>SUM(T.XX!E27)</f>
        <v>86</v>
      </c>
      <c r="J27" s="468">
        <f t="shared" si="2"/>
        <v>25.281198003327788</v>
      </c>
      <c r="K27" s="117">
        <f t="shared" si="11"/>
        <v>-227</v>
      </c>
      <c r="L27" s="118">
        <f t="shared" si="3"/>
        <v>34</v>
      </c>
      <c r="M27" s="14">
        <f t="shared" si="4"/>
        <v>-1</v>
      </c>
      <c r="N27" s="450">
        <f t="shared" si="5"/>
        <v>4.3850627376273046</v>
      </c>
      <c r="O27" s="209">
        <f>SUM(K27)/C27*100</f>
        <v>-27.415458937198068</v>
      </c>
      <c r="P27" s="210">
        <f t="shared" si="6"/>
        <v>13.076923076923078</v>
      </c>
      <c r="Q27" s="96">
        <f t="shared" si="7"/>
        <v>-1.1494252873563218</v>
      </c>
      <c r="R27" s="37">
        <f t="shared" si="13"/>
        <v>20.985041883917514</v>
      </c>
      <c r="T27" s="118">
        <f t="shared" si="8"/>
        <v>15194</v>
      </c>
      <c r="U27" s="531">
        <v>2599</v>
      </c>
      <c r="V27" s="531">
        <v>2633</v>
      </c>
      <c r="W27" s="531">
        <v>2601</v>
      </c>
      <c r="X27" s="531">
        <v>2542</v>
      </c>
      <c r="Y27" s="531">
        <v>2440</v>
      </c>
      <c r="Z27" s="531">
        <v>2379</v>
      </c>
      <c r="AA27" s="118">
        <f t="shared" si="9"/>
        <v>17302</v>
      </c>
      <c r="AB27" s="531">
        <v>3024</v>
      </c>
      <c r="AC27" s="531">
        <v>3006</v>
      </c>
      <c r="AD27" s="531">
        <v>2957</v>
      </c>
      <c r="AE27" s="531">
        <v>2866</v>
      </c>
      <c r="AF27" s="531">
        <v>2770</v>
      </c>
      <c r="AG27" s="531">
        <v>2679</v>
      </c>
    </row>
    <row r="28" spans="2:33" x14ac:dyDescent="0.25">
      <c r="B28" s="203" t="s">
        <v>41</v>
      </c>
      <c r="C28" s="117">
        <v>739</v>
      </c>
      <c r="D28" s="118">
        <v>382</v>
      </c>
      <c r="E28" s="14">
        <v>133</v>
      </c>
      <c r="F28" s="468">
        <f t="shared" si="10"/>
        <v>21.874154262516914</v>
      </c>
      <c r="G28" s="117">
        <f>SUM(T.XX!C28)</f>
        <v>1255</v>
      </c>
      <c r="H28" s="118">
        <f>SUM(T.XX!D28)</f>
        <v>443</v>
      </c>
      <c r="I28" s="14">
        <f>SUM(T.XX!E28)</f>
        <v>145</v>
      </c>
      <c r="J28" s="468">
        <f t="shared" si="2"/>
        <v>10.395219123505976</v>
      </c>
      <c r="K28" s="117">
        <f t="shared" si="11"/>
        <v>516</v>
      </c>
      <c r="L28" s="118">
        <f t="shared" si="3"/>
        <v>61</v>
      </c>
      <c r="M28" s="14">
        <f t="shared" si="4"/>
        <v>12</v>
      </c>
      <c r="N28" s="450">
        <f t="shared" si="5"/>
        <v>-11.478935139010938</v>
      </c>
      <c r="O28" s="209">
        <f t="shared" si="12"/>
        <v>69.824086603518268</v>
      </c>
      <c r="P28" s="210">
        <f t="shared" si="6"/>
        <v>15.968586387434556</v>
      </c>
      <c r="Q28" s="96">
        <f t="shared" si="7"/>
        <v>9.0225563909774422</v>
      </c>
      <c r="R28" s="37">
        <f t="shared" si="13"/>
        <v>-52.47716095099959</v>
      </c>
      <c r="T28" s="118">
        <f t="shared" si="8"/>
        <v>13046</v>
      </c>
      <c r="U28" s="531">
        <v>2307</v>
      </c>
      <c r="V28" s="531">
        <v>2341</v>
      </c>
      <c r="W28" s="531">
        <v>2268</v>
      </c>
      <c r="X28" s="531">
        <v>2137</v>
      </c>
      <c r="Y28" s="531">
        <v>2045</v>
      </c>
      <c r="Z28" s="531">
        <v>1948</v>
      </c>
      <c r="AA28" s="118">
        <f t="shared" si="9"/>
        <v>16165</v>
      </c>
      <c r="AB28" s="531">
        <v>2875</v>
      </c>
      <c r="AC28" s="531">
        <v>2870</v>
      </c>
      <c r="AD28" s="531">
        <v>2783</v>
      </c>
      <c r="AE28" s="531">
        <v>2702</v>
      </c>
      <c r="AF28" s="531">
        <v>2537</v>
      </c>
      <c r="AG28" s="531">
        <v>2398</v>
      </c>
    </row>
    <row r="29" spans="2:33" x14ac:dyDescent="0.25">
      <c r="B29" s="203" t="s">
        <v>42</v>
      </c>
      <c r="C29" s="117">
        <v>1036</v>
      </c>
      <c r="D29" s="118">
        <v>550</v>
      </c>
      <c r="E29" s="14">
        <v>203</v>
      </c>
      <c r="F29" s="468">
        <f t="shared" si="10"/>
        <v>21.894787644787645</v>
      </c>
      <c r="G29" s="117">
        <f>SUM(T.XX!C29)</f>
        <v>982</v>
      </c>
      <c r="H29" s="118">
        <f>SUM(T.XX!D29)</f>
        <v>622</v>
      </c>
      <c r="I29" s="14">
        <f>SUM(T.XX!E29)</f>
        <v>226</v>
      </c>
      <c r="J29" s="468">
        <f t="shared" si="2"/>
        <v>21.210794297352344</v>
      </c>
      <c r="K29" s="117">
        <f t="shared" si="11"/>
        <v>-54</v>
      </c>
      <c r="L29" s="118">
        <f t="shared" si="3"/>
        <v>72</v>
      </c>
      <c r="M29" s="14">
        <f t="shared" si="4"/>
        <v>23</v>
      </c>
      <c r="N29" s="450">
        <f t="shared" si="5"/>
        <v>-0.68399334743530105</v>
      </c>
      <c r="O29" s="209">
        <f t="shared" si="12"/>
        <v>-5.2123552123552122</v>
      </c>
      <c r="P29" s="210">
        <f t="shared" si="6"/>
        <v>13.090909090909092</v>
      </c>
      <c r="Q29" s="96">
        <f t="shared" si="7"/>
        <v>11.330049261083744</v>
      </c>
      <c r="R29" s="37">
        <f t="shared" si="13"/>
        <v>-3.1240008285631173</v>
      </c>
      <c r="T29" s="118">
        <f t="shared" si="8"/>
        <v>20829</v>
      </c>
      <c r="U29" s="531">
        <v>3700</v>
      </c>
      <c r="V29" s="531">
        <v>3666</v>
      </c>
      <c r="W29" s="531">
        <v>3518</v>
      </c>
      <c r="X29" s="531">
        <v>3396</v>
      </c>
      <c r="Y29" s="531">
        <v>3316</v>
      </c>
      <c r="Z29" s="531">
        <v>3233</v>
      </c>
      <c r="AA29" s="118">
        <f t="shared" si="9"/>
        <v>22683</v>
      </c>
      <c r="AB29" s="531">
        <v>3968</v>
      </c>
      <c r="AC29" s="531">
        <v>3991</v>
      </c>
      <c r="AD29" s="531">
        <v>3861</v>
      </c>
      <c r="AE29" s="531">
        <v>3680</v>
      </c>
      <c r="AF29" s="531">
        <v>3610</v>
      </c>
      <c r="AG29" s="531">
        <v>3573</v>
      </c>
    </row>
    <row r="30" spans="2:33" x14ac:dyDescent="0.25">
      <c r="B30" s="203" t="s">
        <v>43</v>
      </c>
      <c r="C30" s="117">
        <v>575</v>
      </c>
      <c r="D30" s="118">
        <v>274</v>
      </c>
      <c r="E30" s="14">
        <v>152</v>
      </c>
      <c r="F30" s="468">
        <f t="shared" si="10"/>
        <v>18.220869565217392</v>
      </c>
      <c r="G30" s="117">
        <f>SUM(T.XX!C30)</f>
        <v>986</v>
      </c>
      <c r="H30" s="118">
        <f>SUM(T.XX!D30)</f>
        <v>284</v>
      </c>
      <c r="I30" s="14">
        <f>SUM(T.XX!E30)</f>
        <v>193</v>
      </c>
      <c r="J30" s="872">
        <f t="shared" si="2"/>
        <v>9.5101419878296145</v>
      </c>
      <c r="K30" s="117">
        <f t="shared" si="11"/>
        <v>411</v>
      </c>
      <c r="L30" s="118">
        <f t="shared" si="3"/>
        <v>10</v>
      </c>
      <c r="M30" s="14">
        <f t="shared" si="4"/>
        <v>41</v>
      </c>
      <c r="N30" s="450">
        <f t="shared" si="5"/>
        <v>-8.710727577387777</v>
      </c>
      <c r="O30" s="209">
        <f t="shared" si="12"/>
        <v>71.478260869565219</v>
      </c>
      <c r="P30" s="210">
        <f t="shared" si="6"/>
        <v>3.6496350364963499</v>
      </c>
      <c r="Q30" s="96">
        <f t="shared" si="7"/>
        <v>26.973684210526315</v>
      </c>
      <c r="R30" s="37">
        <f t="shared" si="13"/>
        <v>-47.806322010098043</v>
      </c>
      <c r="T30" s="118">
        <f t="shared" si="8"/>
        <v>9377</v>
      </c>
      <c r="U30" s="531">
        <v>1653</v>
      </c>
      <c r="V30" s="531">
        <v>1689</v>
      </c>
      <c r="W30" s="531">
        <v>1611</v>
      </c>
      <c r="X30" s="531">
        <v>1549</v>
      </c>
      <c r="Y30" s="531">
        <v>1468</v>
      </c>
      <c r="Z30" s="531">
        <v>1407</v>
      </c>
      <c r="AA30" s="118">
        <f t="shared" si="9"/>
        <v>10477</v>
      </c>
      <c r="AB30" s="531">
        <v>1835</v>
      </c>
      <c r="AC30" s="531">
        <v>1838</v>
      </c>
      <c r="AD30" s="531">
        <v>1781</v>
      </c>
      <c r="AE30" s="531">
        <v>1708</v>
      </c>
      <c r="AF30" s="531">
        <v>1672</v>
      </c>
      <c r="AG30" s="531">
        <v>1643</v>
      </c>
    </row>
    <row r="31" spans="2:33" x14ac:dyDescent="0.25">
      <c r="B31" s="203" t="s">
        <v>44</v>
      </c>
      <c r="C31" s="117">
        <v>485</v>
      </c>
      <c r="D31" s="118">
        <v>192</v>
      </c>
      <c r="E31" s="14">
        <v>62</v>
      </c>
      <c r="F31" s="468">
        <f t="shared" si="10"/>
        <v>11.534020618556701</v>
      </c>
      <c r="G31" s="117">
        <f>SUM(T.XX!C31)</f>
        <v>548</v>
      </c>
      <c r="H31" s="118">
        <f>SUM(T.XX!D31)</f>
        <v>229</v>
      </c>
      <c r="I31" s="14">
        <f>SUM(T.XX!E31)</f>
        <v>73</v>
      </c>
      <c r="J31" s="468">
        <f>SUM(T31)/G31</f>
        <v>8.3759124087591239</v>
      </c>
      <c r="K31" s="117">
        <f t="shared" si="11"/>
        <v>63</v>
      </c>
      <c r="L31" s="118">
        <f t="shared" si="3"/>
        <v>37</v>
      </c>
      <c r="M31" s="14">
        <f t="shared" si="4"/>
        <v>11</v>
      </c>
      <c r="N31" s="450">
        <f t="shared" si="5"/>
        <v>-3.158108209797577</v>
      </c>
      <c r="O31" s="209">
        <f t="shared" si="12"/>
        <v>12.989690721649486</v>
      </c>
      <c r="P31" s="210">
        <f t="shared" si="6"/>
        <v>19.270833333333336</v>
      </c>
      <c r="Q31" s="96">
        <f t="shared" si="7"/>
        <v>17.741935483870968</v>
      </c>
      <c r="R31" s="37">
        <f t="shared" si="13"/>
        <v>-27.380809470000443</v>
      </c>
      <c r="T31" s="118">
        <f t="shared" si="8"/>
        <v>4590</v>
      </c>
      <c r="U31" s="531">
        <v>760</v>
      </c>
      <c r="V31" s="531">
        <v>775</v>
      </c>
      <c r="W31" s="531">
        <v>790</v>
      </c>
      <c r="X31" s="531">
        <v>777</v>
      </c>
      <c r="Y31" s="531">
        <v>754</v>
      </c>
      <c r="Z31" s="531">
        <v>734</v>
      </c>
      <c r="AA31" s="118">
        <f t="shared" si="9"/>
        <v>5594</v>
      </c>
      <c r="AB31" s="531">
        <v>987</v>
      </c>
      <c r="AC31" s="531">
        <v>1003</v>
      </c>
      <c r="AD31" s="531">
        <v>948</v>
      </c>
      <c r="AE31" s="531">
        <v>932</v>
      </c>
      <c r="AF31" s="531">
        <v>878</v>
      </c>
      <c r="AG31" s="531">
        <v>846</v>
      </c>
    </row>
    <row r="32" spans="2:33" x14ac:dyDescent="0.25">
      <c r="B32" s="203" t="s">
        <v>45</v>
      </c>
      <c r="C32" s="117">
        <v>525</v>
      </c>
      <c r="D32" s="118">
        <v>344</v>
      </c>
      <c r="E32" s="14">
        <v>172</v>
      </c>
      <c r="F32" s="468">
        <f t="shared" si="10"/>
        <v>35.59238095238095</v>
      </c>
      <c r="G32" s="117">
        <f>SUM(T.XX!C32)</f>
        <v>699</v>
      </c>
      <c r="H32" s="118">
        <f>SUM(T.XX!D32)</f>
        <v>378</v>
      </c>
      <c r="I32" s="14">
        <f>SUM(T.XX!E32)</f>
        <v>169</v>
      </c>
      <c r="J32" s="468">
        <f t="shared" si="2"/>
        <v>24.238912732474965</v>
      </c>
      <c r="K32" s="117">
        <f t="shared" si="11"/>
        <v>174</v>
      </c>
      <c r="L32" s="118">
        <f t="shared" si="3"/>
        <v>34</v>
      </c>
      <c r="M32" s="14">
        <f t="shared" si="4"/>
        <v>-3</v>
      </c>
      <c r="N32" s="450">
        <f t="shared" si="5"/>
        <v>-11.353468219905984</v>
      </c>
      <c r="O32" s="209">
        <f t="shared" si="12"/>
        <v>33.142857142857139</v>
      </c>
      <c r="P32" s="210">
        <f t="shared" si="6"/>
        <v>9.8837209302325579</v>
      </c>
      <c r="Q32" s="96">
        <f t="shared" si="7"/>
        <v>-1.7441860465116279</v>
      </c>
      <c r="R32" s="37">
        <f t="shared" si="13"/>
        <v>-31.898591541531857</v>
      </c>
      <c r="T32" s="118">
        <f t="shared" si="8"/>
        <v>16943</v>
      </c>
      <c r="U32" s="531">
        <v>3015</v>
      </c>
      <c r="V32" s="531">
        <v>2970</v>
      </c>
      <c r="W32" s="531">
        <v>2873</v>
      </c>
      <c r="X32" s="531">
        <v>2785</v>
      </c>
      <c r="Y32" s="531">
        <v>2707</v>
      </c>
      <c r="Z32" s="531">
        <v>2593</v>
      </c>
      <c r="AA32" s="118">
        <f t="shared" si="9"/>
        <v>18686</v>
      </c>
      <c r="AB32" s="531">
        <v>3169</v>
      </c>
      <c r="AC32" s="531">
        <v>3213</v>
      </c>
      <c r="AD32" s="531">
        <v>3173</v>
      </c>
      <c r="AE32" s="531">
        <v>3090</v>
      </c>
      <c r="AF32" s="531">
        <v>3055</v>
      </c>
      <c r="AG32" s="531">
        <v>2986</v>
      </c>
    </row>
    <row r="33" spans="2:33" x14ac:dyDescent="0.25">
      <c r="B33" s="203" t="s">
        <v>46</v>
      </c>
      <c r="C33" s="117">
        <v>3761</v>
      </c>
      <c r="D33" s="118">
        <v>508</v>
      </c>
      <c r="E33" s="14">
        <v>316</v>
      </c>
      <c r="F33" s="468">
        <f t="shared" si="10"/>
        <v>11.959585216697686</v>
      </c>
      <c r="G33" s="117">
        <f>SUM(T.XX!C33)</f>
        <v>4452</v>
      </c>
      <c r="H33" s="118">
        <f>SUM(T.XX!D33)</f>
        <v>634</v>
      </c>
      <c r="I33" s="14">
        <f>SUM(T.XX!E33)</f>
        <v>364</v>
      </c>
      <c r="J33" s="872">
        <f t="shared" si="2"/>
        <v>8.2131626235399828</v>
      </c>
      <c r="K33" s="117">
        <f t="shared" si="11"/>
        <v>691</v>
      </c>
      <c r="L33" s="118">
        <f t="shared" si="3"/>
        <v>126</v>
      </c>
      <c r="M33" s="14">
        <f t="shared" si="4"/>
        <v>48</v>
      </c>
      <c r="N33" s="450">
        <f t="shared" si="5"/>
        <v>-3.7464225931577033</v>
      </c>
      <c r="O33" s="209">
        <f t="shared" si="12"/>
        <v>18.372773198617391</v>
      </c>
      <c r="P33" s="210">
        <f t="shared" si="6"/>
        <v>24.803149606299215</v>
      </c>
      <c r="Q33" s="96">
        <f t="shared" si="7"/>
        <v>15.18987341772152</v>
      </c>
      <c r="R33" s="37">
        <f t="shared" si="13"/>
        <v>-31.325690024157677</v>
      </c>
      <c r="T33" s="118">
        <f t="shared" si="8"/>
        <v>36565</v>
      </c>
      <c r="U33" s="531">
        <v>6324</v>
      </c>
      <c r="V33" s="531">
        <v>6300</v>
      </c>
      <c r="W33" s="531">
        <v>6191</v>
      </c>
      <c r="X33" s="531">
        <v>6049</v>
      </c>
      <c r="Y33" s="531">
        <v>5878</v>
      </c>
      <c r="Z33" s="531">
        <v>5823</v>
      </c>
      <c r="AA33" s="118">
        <f t="shared" si="9"/>
        <v>44980</v>
      </c>
      <c r="AB33" s="531">
        <v>7680</v>
      </c>
      <c r="AC33" s="531">
        <v>7713</v>
      </c>
      <c r="AD33" s="531">
        <v>7608</v>
      </c>
      <c r="AE33" s="531">
        <v>7488</v>
      </c>
      <c r="AF33" s="531">
        <v>7316</v>
      </c>
      <c r="AG33" s="531">
        <v>7175</v>
      </c>
    </row>
    <row r="34" spans="2:33" ht="15.75" thickBot="1" x14ac:dyDescent="0.3">
      <c r="B34" s="204" t="s">
        <v>47</v>
      </c>
      <c r="C34" s="119">
        <v>670</v>
      </c>
      <c r="D34" s="121">
        <v>242</v>
      </c>
      <c r="E34" s="21">
        <v>160</v>
      </c>
      <c r="F34" s="469">
        <f t="shared" si="10"/>
        <v>14.126865671641792</v>
      </c>
      <c r="G34" s="119">
        <f>SUM(T.XX!C34)</f>
        <v>810</v>
      </c>
      <c r="H34" s="121">
        <f>SUM(T.XX!D34)</f>
        <v>287</v>
      </c>
      <c r="I34" s="21">
        <f>SUM(T.XX!E34)</f>
        <v>138</v>
      </c>
      <c r="J34" s="469">
        <f t="shared" si="2"/>
        <v>10.109876543209877</v>
      </c>
      <c r="K34" s="119">
        <f t="shared" si="11"/>
        <v>140</v>
      </c>
      <c r="L34" s="121">
        <f t="shared" si="3"/>
        <v>45</v>
      </c>
      <c r="M34" s="21">
        <f t="shared" si="4"/>
        <v>-22</v>
      </c>
      <c r="N34" s="471">
        <f t="shared" si="5"/>
        <v>-4.0169891284319146</v>
      </c>
      <c r="O34" s="211">
        <f t="shared" si="12"/>
        <v>20.8955223880597</v>
      </c>
      <c r="P34" s="212">
        <f t="shared" si="6"/>
        <v>18.595041322314049</v>
      </c>
      <c r="Q34" s="97">
        <f t="shared" si="7"/>
        <v>-13.750000000000002</v>
      </c>
      <c r="R34" s="213">
        <f t="shared" si="13"/>
        <v>-28.435105293707156</v>
      </c>
      <c r="T34" s="118">
        <f t="shared" si="8"/>
        <v>8189</v>
      </c>
      <c r="U34" s="531">
        <v>1425</v>
      </c>
      <c r="V34" s="531">
        <v>1429</v>
      </c>
      <c r="W34" s="531">
        <v>1432</v>
      </c>
      <c r="X34" s="531">
        <v>1387</v>
      </c>
      <c r="Y34" s="531">
        <v>1323</v>
      </c>
      <c r="Z34" s="531">
        <v>1193</v>
      </c>
      <c r="AA34" s="118">
        <f t="shared" si="9"/>
        <v>9465</v>
      </c>
      <c r="AB34" s="531">
        <v>1591</v>
      </c>
      <c r="AC34" s="531">
        <v>1643</v>
      </c>
      <c r="AD34" s="531">
        <v>1638</v>
      </c>
      <c r="AE34" s="531">
        <v>1593</v>
      </c>
      <c r="AF34" s="531">
        <v>1520</v>
      </c>
      <c r="AG34" s="531">
        <v>1480</v>
      </c>
    </row>
    <row r="36" spans="2:33" x14ac:dyDescent="0.25">
      <c r="D36" s="381"/>
      <c r="H36" s="381"/>
      <c r="I36" s="381"/>
      <c r="K36" s="378"/>
    </row>
    <row r="37" spans="2:33" x14ac:dyDescent="0.25">
      <c r="G37" s="380"/>
    </row>
  </sheetData>
  <mergeCells count="18">
    <mergeCell ref="N7:N8"/>
    <mergeCell ref="O7:O8"/>
    <mergeCell ref="C5:I5"/>
    <mergeCell ref="B6:B8"/>
    <mergeCell ref="C6:F6"/>
    <mergeCell ref="K6:N6"/>
    <mergeCell ref="O6:R6"/>
    <mergeCell ref="G7:G8"/>
    <mergeCell ref="H7:I7"/>
    <mergeCell ref="J7:J8"/>
    <mergeCell ref="C7:C8"/>
    <mergeCell ref="P7:Q7"/>
    <mergeCell ref="R7:R8"/>
    <mergeCell ref="G6:J6"/>
    <mergeCell ref="D7:E7"/>
    <mergeCell ref="F7:F8"/>
    <mergeCell ref="K7:K8"/>
    <mergeCell ref="L7:M7"/>
  </mergeCells>
  <pageMargins left="0" right="0" top="1.3779527559055118" bottom="0" header="0" footer="0"/>
  <pageSetup paperSize="9" scale="4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G63"/>
  <sheetViews>
    <sheetView workbookViewId="0">
      <selection activeCell="B1" sqref="B1"/>
    </sheetView>
  </sheetViews>
  <sheetFormatPr defaultColWidth="9.140625" defaultRowHeight="15" x14ac:dyDescent="0.25"/>
  <cols>
    <col min="1" max="1" width="3" style="84" customWidth="1"/>
    <col min="2" max="2" width="60" style="84" customWidth="1"/>
    <col min="3" max="3" width="10.7109375" style="84" customWidth="1"/>
    <col min="4" max="4" width="11.140625" style="84" customWidth="1"/>
    <col min="5" max="5" width="10.28515625" style="84" customWidth="1"/>
    <col min="6" max="6" width="11.5703125" style="84" customWidth="1"/>
    <col min="7" max="7" width="10.5703125" style="84" customWidth="1"/>
    <col min="8" max="16384" width="9.140625" style="84"/>
  </cols>
  <sheetData>
    <row r="1" spans="2:7" x14ac:dyDescent="0.25">
      <c r="B1" s="273" t="s">
        <v>437</v>
      </c>
      <c r="C1" s="274"/>
      <c r="D1" s="274"/>
      <c r="E1" s="274"/>
    </row>
    <row r="2" spans="2:7" x14ac:dyDescent="0.25">
      <c r="B2" s="11" t="s">
        <v>266</v>
      </c>
      <c r="C2" s="156"/>
      <c r="D2" s="156"/>
      <c r="E2" s="156"/>
    </row>
    <row r="3" spans="2:7" ht="15.75" thickBot="1" x14ac:dyDescent="0.3">
      <c r="B3" s="11" t="s">
        <v>377</v>
      </c>
      <c r="C3" s="156"/>
      <c r="D3" s="156"/>
      <c r="E3" s="156"/>
    </row>
    <row r="4" spans="2:7" ht="45.75" thickBot="1" x14ac:dyDescent="0.3">
      <c r="B4" s="596" t="s">
        <v>174</v>
      </c>
      <c r="C4" s="593" t="s">
        <v>192</v>
      </c>
      <c r="D4" s="227" t="s">
        <v>422</v>
      </c>
      <c r="E4" s="228" t="s">
        <v>513</v>
      </c>
      <c r="F4" s="593" t="s">
        <v>522</v>
      </c>
      <c r="G4" s="594" t="s">
        <v>513</v>
      </c>
    </row>
    <row r="5" spans="2:7" ht="28.5" x14ac:dyDescent="0.25">
      <c r="B5" s="680" t="s">
        <v>237</v>
      </c>
      <c r="C5" s="681">
        <v>1</v>
      </c>
      <c r="D5" s="681">
        <f>SUM(D6:D9)</f>
        <v>209</v>
      </c>
      <c r="E5" s="682">
        <f>SUM(D5/D59)*100</f>
        <v>0.84087708710521014</v>
      </c>
      <c r="F5" s="681">
        <f>SUM(F6:F9)</f>
        <v>175</v>
      </c>
      <c r="G5" s="682">
        <f>SUM(F5/F59)*100</f>
        <v>0.63398905916023618</v>
      </c>
    </row>
    <row r="6" spans="2:7" ht="30" x14ac:dyDescent="0.25">
      <c r="B6" s="217" t="s">
        <v>238</v>
      </c>
      <c r="C6" s="218">
        <v>11</v>
      </c>
      <c r="D6" s="218">
        <v>23</v>
      </c>
      <c r="E6" s="241">
        <f>SUM(D6)/D5*100</f>
        <v>11.004784688995215</v>
      </c>
      <c r="F6" s="218">
        <v>5</v>
      </c>
      <c r="G6" s="241">
        <f>SUM(F6)/F5*100</f>
        <v>2.8571428571428572</v>
      </c>
    </row>
    <row r="7" spans="2:7" x14ac:dyDescent="0.25">
      <c r="B7" s="217" t="s">
        <v>193</v>
      </c>
      <c r="C7" s="218">
        <v>12</v>
      </c>
      <c r="D7" s="218">
        <v>69</v>
      </c>
      <c r="E7" s="241">
        <f>SUM(D7)/D5*100</f>
        <v>33.014354066985646</v>
      </c>
      <c r="F7" s="218">
        <v>61</v>
      </c>
      <c r="G7" s="241">
        <f>SUM(F7)/F5*100</f>
        <v>34.857142857142861</v>
      </c>
    </row>
    <row r="8" spans="2:7" x14ac:dyDescent="0.25">
      <c r="B8" s="217" t="s">
        <v>194</v>
      </c>
      <c r="C8" s="218">
        <v>13</v>
      </c>
      <c r="D8" s="218">
        <v>80</v>
      </c>
      <c r="E8" s="241">
        <f>SUM(D8)/D5*100</f>
        <v>38.277511961722489</v>
      </c>
      <c r="F8" s="218">
        <v>66</v>
      </c>
      <c r="G8" s="241">
        <f>SUM(F8)/F5*100</f>
        <v>37.714285714285715</v>
      </c>
    </row>
    <row r="9" spans="2:7" ht="30" x14ac:dyDescent="0.25">
      <c r="B9" s="217" t="s">
        <v>195</v>
      </c>
      <c r="C9" s="218">
        <v>14</v>
      </c>
      <c r="D9" s="218">
        <v>37</v>
      </c>
      <c r="E9" s="242">
        <f>SUM(D9)/D5*100</f>
        <v>17.703349282296653</v>
      </c>
      <c r="F9" s="218">
        <v>43</v>
      </c>
      <c r="G9" s="242">
        <f>SUM(F9)/F5*100</f>
        <v>24.571428571428573</v>
      </c>
    </row>
    <row r="10" spans="2:7" x14ac:dyDescent="0.25">
      <c r="B10" s="673" t="s">
        <v>182</v>
      </c>
      <c r="C10" s="674">
        <v>2</v>
      </c>
      <c r="D10" s="675">
        <f>SUM(D11:D16)</f>
        <v>1660</v>
      </c>
      <c r="E10" s="641">
        <f>SUM(D10/D59)*100</f>
        <v>6.6787366727016702</v>
      </c>
      <c r="F10" s="675">
        <f>SUM(F11:F16)</f>
        <v>1669</v>
      </c>
      <c r="G10" s="641">
        <f>SUM(F10/F59)*100</f>
        <v>6.0464442270767673</v>
      </c>
    </row>
    <row r="11" spans="2:7" x14ac:dyDescent="0.25">
      <c r="B11" s="217" t="s">
        <v>198</v>
      </c>
      <c r="C11" s="218">
        <v>21</v>
      </c>
      <c r="D11" s="143">
        <v>427</v>
      </c>
      <c r="E11" s="241">
        <f>SUM(D11)/D10*100</f>
        <v>25.722891566265062</v>
      </c>
      <c r="F11" s="143">
        <v>343</v>
      </c>
      <c r="G11" s="241">
        <f>SUM(F11)/F10*100</f>
        <v>20.551228280407429</v>
      </c>
    </row>
    <row r="12" spans="2:7" x14ac:dyDescent="0.25">
      <c r="B12" s="217" t="s">
        <v>199</v>
      </c>
      <c r="C12" s="218">
        <v>22</v>
      </c>
      <c r="D12" s="218">
        <v>305</v>
      </c>
      <c r="E12" s="241">
        <f>SUM(D12)/D10*100</f>
        <v>18.373493975903614</v>
      </c>
      <c r="F12" s="218">
        <v>333</v>
      </c>
      <c r="G12" s="241">
        <f>SUM(F12)/F10*100</f>
        <v>19.952067106051526</v>
      </c>
    </row>
    <row r="13" spans="2:7" x14ac:dyDescent="0.25">
      <c r="B13" s="217" t="s">
        <v>200</v>
      </c>
      <c r="C13" s="218">
        <v>23</v>
      </c>
      <c r="D13" s="143">
        <v>242</v>
      </c>
      <c r="E13" s="241">
        <f>SUM(D13)/D10*100</f>
        <v>14.578313253012048</v>
      </c>
      <c r="F13" s="143">
        <v>311</v>
      </c>
      <c r="G13" s="241">
        <f>SUM(F13)/F10*100</f>
        <v>18.633912522468542</v>
      </c>
    </row>
    <row r="14" spans="2:7" x14ac:dyDescent="0.25">
      <c r="B14" s="217" t="s">
        <v>201</v>
      </c>
      <c r="C14" s="218">
        <v>24</v>
      </c>
      <c r="D14" s="143">
        <v>472</v>
      </c>
      <c r="E14" s="241">
        <f>SUM(D14)/D10*100</f>
        <v>28.433734939759038</v>
      </c>
      <c r="F14" s="143">
        <v>508</v>
      </c>
      <c r="G14" s="241">
        <f>SUM(F14)/F10*100</f>
        <v>30.437387657279807</v>
      </c>
    </row>
    <row r="15" spans="2:7" x14ac:dyDescent="0.25">
      <c r="B15" s="217" t="s">
        <v>202</v>
      </c>
      <c r="C15" s="218">
        <v>25</v>
      </c>
      <c r="D15" s="218">
        <v>41</v>
      </c>
      <c r="E15" s="241">
        <f>SUM(D15)/D10*100</f>
        <v>2.4698795180722892</v>
      </c>
      <c r="F15" s="218">
        <v>30</v>
      </c>
      <c r="G15" s="241">
        <f>SUM(F15)/F10*100</f>
        <v>1.7974835230677051</v>
      </c>
    </row>
    <row r="16" spans="2:7" x14ac:dyDescent="0.25">
      <c r="B16" s="217" t="s">
        <v>203</v>
      </c>
      <c r="C16" s="218">
        <v>26</v>
      </c>
      <c r="D16" s="143">
        <v>173</v>
      </c>
      <c r="E16" s="241">
        <f>SUM(D16)/D10*100</f>
        <v>10.421686746987952</v>
      </c>
      <c r="F16" s="143">
        <v>144</v>
      </c>
      <c r="G16" s="241">
        <f>SUM(F16)/F10*100</f>
        <v>8.6279209107249848</v>
      </c>
    </row>
    <row r="17" spans="2:7" x14ac:dyDescent="0.25">
      <c r="B17" s="673" t="s">
        <v>183</v>
      </c>
      <c r="C17" s="674">
        <v>3</v>
      </c>
      <c r="D17" s="675">
        <f>SUM(D18:D22)</f>
        <v>2150</v>
      </c>
      <c r="E17" s="641">
        <f>SUM(D17)/D59*100</f>
        <v>8.6501709917521623</v>
      </c>
      <c r="F17" s="675">
        <f>SUM(F18:F22)</f>
        <v>2367</v>
      </c>
      <c r="G17" s="641">
        <f>SUM(F17)/F59*100</f>
        <v>8.5751548744701651</v>
      </c>
    </row>
    <row r="18" spans="2:7" x14ac:dyDescent="0.25">
      <c r="B18" s="217" t="s">
        <v>204</v>
      </c>
      <c r="C18" s="218">
        <v>31</v>
      </c>
      <c r="D18" s="143">
        <v>676</v>
      </c>
      <c r="E18" s="241">
        <f>SUM(D18)/D17*100</f>
        <v>31.441860465116278</v>
      </c>
      <c r="F18" s="143">
        <v>678</v>
      </c>
      <c r="G18" s="241">
        <f>SUM(F18)/F17*100</f>
        <v>28.643852978453737</v>
      </c>
    </row>
    <row r="19" spans="2:7" x14ac:dyDescent="0.25">
      <c r="B19" s="217" t="s">
        <v>205</v>
      </c>
      <c r="C19" s="218">
        <v>32</v>
      </c>
      <c r="D19" s="143">
        <v>299</v>
      </c>
      <c r="E19" s="241">
        <f>SUM(D19)/D17*100</f>
        <v>13.906976744186048</v>
      </c>
      <c r="F19" s="143">
        <v>374</v>
      </c>
      <c r="G19" s="241">
        <f>SUM(F19)/F17*100</f>
        <v>15.800591465990705</v>
      </c>
    </row>
    <row r="20" spans="2:7" x14ac:dyDescent="0.25">
      <c r="B20" s="217" t="s">
        <v>206</v>
      </c>
      <c r="C20" s="218">
        <v>33</v>
      </c>
      <c r="D20" s="143">
        <v>809</v>
      </c>
      <c r="E20" s="241">
        <f>SUM(D20)/D17*100</f>
        <v>37.627906976744185</v>
      </c>
      <c r="F20" s="143">
        <v>816</v>
      </c>
      <c r="G20" s="241">
        <f>SUM(F20)/F17*100</f>
        <v>34.474017743979722</v>
      </c>
    </row>
    <row r="21" spans="2:7" ht="30" x14ac:dyDescent="0.25">
      <c r="B21" s="217" t="s">
        <v>207</v>
      </c>
      <c r="C21" s="218">
        <v>34</v>
      </c>
      <c r="D21" s="143">
        <v>308</v>
      </c>
      <c r="E21" s="241">
        <f>SUM(D21)/D17*100</f>
        <v>14.325581395348838</v>
      </c>
      <c r="F21" s="143">
        <v>434</v>
      </c>
      <c r="G21" s="241">
        <f>SUM(F21)/F17*100</f>
        <v>18.335445711871568</v>
      </c>
    </row>
    <row r="22" spans="2:7" x14ac:dyDescent="0.25">
      <c r="B22" s="217" t="s">
        <v>208</v>
      </c>
      <c r="C22" s="218">
        <v>35</v>
      </c>
      <c r="D22" s="218">
        <v>58</v>
      </c>
      <c r="E22" s="241">
        <f>SUM(D22)/D17*100</f>
        <v>2.6976744186046511</v>
      </c>
      <c r="F22" s="218">
        <v>65</v>
      </c>
      <c r="G22" s="241">
        <f>SUM(F22)/F17*100</f>
        <v>2.746092099704267</v>
      </c>
    </row>
    <row r="23" spans="2:7" x14ac:dyDescent="0.25">
      <c r="B23" s="673" t="s">
        <v>184</v>
      </c>
      <c r="C23" s="674">
        <v>4</v>
      </c>
      <c r="D23" s="675">
        <f>SUM(D24:D27)</f>
        <v>3264</v>
      </c>
      <c r="E23" s="641">
        <f>SUM(D23)/D59*100</f>
        <v>13.132166566083283</v>
      </c>
      <c r="F23" s="675">
        <f>SUM(F24:F27)</f>
        <v>3090</v>
      </c>
      <c r="G23" s="641">
        <f>SUM(F23)/F59*100</f>
        <v>11.194435387457885</v>
      </c>
    </row>
    <row r="24" spans="2:7" x14ac:dyDescent="0.25">
      <c r="B24" s="217" t="s">
        <v>209</v>
      </c>
      <c r="C24" s="218">
        <v>41</v>
      </c>
      <c r="D24" s="143">
        <v>1407</v>
      </c>
      <c r="E24" s="241">
        <f>SUM(D24)/D23*100</f>
        <v>43.106617647058826</v>
      </c>
      <c r="F24" s="143">
        <v>1625</v>
      </c>
      <c r="G24" s="241">
        <f>SUM(F24)/F23*100</f>
        <v>52.588996763754047</v>
      </c>
    </row>
    <row r="25" spans="2:7" x14ac:dyDescent="0.25">
      <c r="B25" s="217" t="s">
        <v>210</v>
      </c>
      <c r="C25" s="218">
        <v>42</v>
      </c>
      <c r="D25" s="218">
        <v>209</v>
      </c>
      <c r="E25" s="241">
        <f>SUM(D25)/D23*100</f>
        <v>6.4031862745098032</v>
      </c>
      <c r="F25" s="218">
        <v>219</v>
      </c>
      <c r="G25" s="241">
        <f>SUM(F25)/F23*100</f>
        <v>7.0873786407766994</v>
      </c>
    </row>
    <row r="26" spans="2:7" ht="30" x14ac:dyDescent="0.25">
      <c r="B26" s="217" t="s">
        <v>211</v>
      </c>
      <c r="C26" s="218">
        <v>43</v>
      </c>
      <c r="D26" s="143">
        <v>1533</v>
      </c>
      <c r="E26" s="241">
        <f>SUM(D26)/D23*100</f>
        <v>46.966911764705884</v>
      </c>
      <c r="F26" s="143">
        <v>1124</v>
      </c>
      <c r="G26" s="241">
        <f>SUM(F26)/F23*100</f>
        <v>36.375404530744341</v>
      </c>
    </row>
    <row r="27" spans="2:7" x14ac:dyDescent="0.25">
      <c r="B27" s="217" t="s">
        <v>212</v>
      </c>
      <c r="C27" s="218">
        <v>44</v>
      </c>
      <c r="D27" s="218">
        <v>115</v>
      </c>
      <c r="E27" s="241">
        <f>SUM(D27)/D23*100</f>
        <v>3.5232843137254903</v>
      </c>
      <c r="F27" s="218">
        <v>122</v>
      </c>
      <c r="G27" s="241">
        <f>SUM(F27)/F23*100</f>
        <v>3.9482200647249193</v>
      </c>
    </row>
    <row r="28" spans="2:7" x14ac:dyDescent="0.25">
      <c r="B28" s="673" t="s">
        <v>185</v>
      </c>
      <c r="C28" s="674">
        <v>5</v>
      </c>
      <c r="D28" s="675">
        <f>SUM(D29:D32)</f>
        <v>4778</v>
      </c>
      <c r="E28" s="641">
        <f>SUM(D28)/D59*100</f>
        <v>19.223496278414807</v>
      </c>
      <c r="F28" s="675">
        <f>SUM(F29:F32)</f>
        <v>5527</v>
      </c>
      <c r="G28" s="641">
        <f>SUM(F28)/F59*100</f>
        <v>20.023185885592145</v>
      </c>
    </row>
    <row r="29" spans="2:7" x14ac:dyDescent="0.25">
      <c r="B29" s="217" t="s">
        <v>213</v>
      </c>
      <c r="C29" s="218">
        <v>51</v>
      </c>
      <c r="D29" s="143">
        <v>2313</v>
      </c>
      <c r="E29" s="241">
        <f>SUM(D29)/D28*100</f>
        <v>48.409376308078691</v>
      </c>
      <c r="F29" s="143">
        <v>2667</v>
      </c>
      <c r="G29" s="241">
        <f>SUM(F29)/F28*100</f>
        <v>48.254025692057176</v>
      </c>
    </row>
    <row r="30" spans="2:7" x14ac:dyDescent="0.25">
      <c r="B30" s="217" t="s">
        <v>214</v>
      </c>
      <c r="C30" s="218">
        <v>52</v>
      </c>
      <c r="D30" s="143">
        <v>2009</v>
      </c>
      <c r="E30" s="241">
        <f>SUM(D30)/D28*100</f>
        <v>42.046881540393471</v>
      </c>
      <c r="F30" s="143">
        <v>2253</v>
      </c>
      <c r="G30" s="241">
        <f>SUM(F30)/F28*100</f>
        <v>40.763524516012303</v>
      </c>
    </row>
    <row r="31" spans="2:7" x14ac:dyDescent="0.25">
      <c r="B31" s="217" t="s">
        <v>215</v>
      </c>
      <c r="C31" s="218">
        <v>53</v>
      </c>
      <c r="D31" s="218">
        <v>287</v>
      </c>
      <c r="E31" s="241">
        <f>SUM(D31)/D28*100</f>
        <v>6.0066973629133527</v>
      </c>
      <c r="F31" s="218">
        <v>404</v>
      </c>
      <c r="G31" s="241">
        <f>SUM(F31)/F28*100</f>
        <v>7.3095711959471688</v>
      </c>
    </row>
    <row r="32" spans="2:7" x14ac:dyDescent="0.25">
      <c r="B32" s="217" t="s">
        <v>216</v>
      </c>
      <c r="C32" s="218">
        <v>54</v>
      </c>
      <c r="D32" s="218">
        <v>169</v>
      </c>
      <c r="E32" s="241">
        <f>SUM(D32)/D28*100</f>
        <v>3.5370447886144829</v>
      </c>
      <c r="F32" s="218">
        <v>203</v>
      </c>
      <c r="G32" s="241">
        <f>SUM(F32)/F28*100</f>
        <v>3.6728785959833545</v>
      </c>
    </row>
    <row r="33" spans="2:7" x14ac:dyDescent="0.25">
      <c r="B33" s="673" t="s">
        <v>186</v>
      </c>
      <c r="C33" s="674">
        <v>6</v>
      </c>
      <c r="D33" s="675">
        <f>SUM(D34:D36)</f>
        <v>136</v>
      </c>
      <c r="E33" s="641">
        <f>SUM(D33)/D59*100</f>
        <v>0.54717360692013683</v>
      </c>
      <c r="F33" s="675">
        <f>SUM(F34:F36)</f>
        <v>155</v>
      </c>
      <c r="G33" s="641">
        <f>SUM(F33)/F59*100</f>
        <v>0.56153316668478059</v>
      </c>
    </row>
    <row r="34" spans="2:7" x14ac:dyDescent="0.25">
      <c r="B34" s="217" t="s">
        <v>217</v>
      </c>
      <c r="C34" s="218">
        <v>61</v>
      </c>
      <c r="D34" s="143">
        <v>94</v>
      </c>
      <c r="E34" s="241">
        <f>SUM(D34)/D33*100</f>
        <v>69.117647058823522</v>
      </c>
      <c r="F34" s="143">
        <v>106</v>
      </c>
      <c r="G34" s="241">
        <f>SUM(F34)/F33*100</f>
        <v>68.387096774193552</v>
      </c>
    </row>
    <row r="35" spans="2:7" x14ac:dyDescent="0.25">
      <c r="B35" s="217" t="s">
        <v>218</v>
      </c>
      <c r="C35" s="218">
        <v>62</v>
      </c>
      <c r="D35" s="218">
        <v>42</v>
      </c>
      <c r="E35" s="241">
        <f>SUM(D35)/D33*100</f>
        <v>30.882352941176471</v>
      </c>
      <c r="F35" s="218">
        <v>49</v>
      </c>
      <c r="G35" s="241">
        <f>SUM(F35)/F33*100</f>
        <v>31.612903225806448</v>
      </c>
    </row>
    <row r="36" spans="2:7" x14ac:dyDescent="0.25">
      <c r="B36" s="217" t="s">
        <v>219</v>
      </c>
      <c r="C36" s="218">
        <v>63</v>
      </c>
      <c r="D36" s="218">
        <v>0</v>
      </c>
      <c r="E36" s="241">
        <f>SUM(D36)/D33*100</f>
        <v>0</v>
      </c>
      <c r="F36" s="218">
        <v>0</v>
      </c>
      <c r="G36" s="241">
        <f>SUM(F36)/F33*100</f>
        <v>0</v>
      </c>
    </row>
    <row r="37" spans="2:7" x14ac:dyDescent="0.25">
      <c r="B37" s="673" t="s">
        <v>187</v>
      </c>
      <c r="C37" s="674">
        <v>7</v>
      </c>
      <c r="D37" s="675">
        <f>SUM(D38:D42)</f>
        <v>6427</v>
      </c>
      <c r="E37" s="641">
        <f>SUM(D37)/D59*100</f>
        <v>25.857976262321465</v>
      </c>
      <c r="F37" s="675">
        <f>SUM(F38:F42)</f>
        <v>7441</v>
      </c>
      <c r="G37" s="641">
        <f>SUM(F37)/F59*100</f>
        <v>26.957214795493243</v>
      </c>
    </row>
    <row r="38" spans="2:7" x14ac:dyDescent="0.25">
      <c r="B38" s="217" t="s">
        <v>220</v>
      </c>
      <c r="C38" s="218">
        <v>71</v>
      </c>
      <c r="D38" s="143">
        <v>2172</v>
      </c>
      <c r="E38" s="241">
        <f>SUM(D38)/D37*100</f>
        <v>33.79492764898086</v>
      </c>
      <c r="F38" s="143">
        <v>2407</v>
      </c>
      <c r="G38" s="241">
        <f>SUM(F38)/F37*100</f>
        <v>32.347802714688882</v>
      </c>
    </row>
    <row r="39" spans="2:7" x14ac:dyDescent="0.25">
      <c r="B39" s="217" t="s">
        <v>221</v>
      </c>
      <c r="C39" s="218">
        <v>72</v>
      </c>
      <c r="D39" s="143">
        <v>2287</v>
      </c>
      <c r="E39" s="241">
        <f>SUM(D39)/D37*100</f>
        <v>35.584253928738136</v>
      </c>
      <c r="F39" s="143">
        <v>2926</v>
      </c>
      <c r="G39" s="241">
        <f>SUM(F39)/F37*100</f>
        <v>39.322671683913448</v>
      </c>
    </row>
    <row r="40" spans="2:7" x14ac:dyDescent="0.25">
      <c r="B40" s="217" t="s">
        <v>222</v>
      </c>
      <c r="C40" s="218">
        <v>73</v>
      </c>
      <c r="D40" s="143">
        <v>118</v>
      </c>
      <c r="E40" s="241">
        <f>SUM(D40)/D37*100</f>
        <v>1.8360043566205071</v>
      </c>
      <c r="F40" s="143">
        <v>102</v>
      </c>
      <c r="G40" s="241">
        <f>SUM(F40)/F37*100</f>
        <v>1.3707834968418222</v>
      </c>
    </row>
    <row r="41" spans="2:7" x14ac:dyDescent="0.25">
      <c r="B41" s="217" t="s">
        <v>223</v>
      </c>
      <c r="C41" s="218">
        <v>74</v>
      </c>
      <c r="D41" s="143">
        <v>782</v>
      </c>
      <c r="E41" s="241">
        <f>SUM(D41)/D37*100</f>
        <v>12.167418702349462</v>
      </c>
      <c r="F41" s="143">
        <v>606</v>
      </c>
      <c r="G41" s="241">
        <f>SUM(F41)/F37*100</f>
        <v>8.1440666577072971</v>
      </c>
    </row>
    <row r="42" spans="2:7" ht="30" x14ac:dyDescent="0.25">
      <c r="B42" s="217" t="s">
        <v>224</v>
      </c>
      <c r="C42" s="218">
        <v>75</v>
      </c>
      <c r="D42" s="143">
        <v>1068</v>
      </c>
      <c r="E42" s="241">
        <f>SUM(D42)/D37*100</f>
        <v>16.617395363311033</v>
      </c>
      <c r="F42" s="143">
        <v>1400</v>
      </c>
      <c r="G42" s="241">
        <f>SUM(F42)/F37*100</f>
        <v>18.814675446848543</v>
      </c>
    </row>
    <row r="43" spans="2:7" x14ac:dyDescent="0.25">
      <c r="B43" s="673" t="s">
        <v>188</v>
      </c>
      <c r="C43" s="674">
        <v>8</v>
      </c>
      <c r="D43" s="675">
        <f>SUM(D44:D46)</f>
        <v>2822</v>
      </c>
      <c r="E43" s="641">
        <f>SUM(D43)/D59*100</f>
        <v>11.353852343592838</v>
      </c>
      <c r="F43" s="675">
        <f>SUM(F44:F46)</f>
        <v>2782</v>
      </c>
      <c r="G43" s="641">
        <f>SUM(F43)/F59*100</f>
        <v>10.078614643335868</v>
      </c>
    </row>
    <row r="44" spans="2:7" x14ac:dyDescent="0.25">
      <c r="B44" s="217" t="s">
        <v>225</v>
      </c>
      <c r="C44" s="218">
        <v>81</v>
      </c>
      <c r="D44" s="143">
        <v>1415</v>
      </c>
      <c r="E44" s="241">
        <f>SUM(D44)/D43*100</f>
        <v>50.141743444365694</v>
      </c>
      <c r="F44" s="143">
        <v>1474</v>
      </c>
      <c r="G44" s="241">
        <f>SUM(F44)/F43*100</f>
        <v>52.983465132997843</v>
      </c>
    </row>
    <row r="45" spans="2:7" x14ac:dyDescent="0.25">
      <c r="B45" s="217" t="s">
        <v>226</v>
      </c>
      <c r="C45" s="218">
        <v>82</v>
      </c>
      <c r="D45" s="218">
        <v>336</v>
      </c>
      <c r="E45" s="241">
        <f>SUM(D45)/D43*100</f>
        <v>11.90644932671864</v>
      </c>
      <c r="F45" s="218">
        <v>222</v>
      </c>
      <c r="G45" s="241">
        <f>SUM(F45)/F43*100</f>
        <v>7.9798705966930266</v>
      </c>
    </row>
    <row r="46" spans="2:7" x14ac:dyDescent="0.25">
      <c r="B46" s="217" t="s">
        <v>227</v>
      </c>
      <c r="C46" s="218">
        <v>83</v>
      </c>
      <c r="D46" s="143">
        <v>1071</v>
      </c>
      <c r="E46" s="241">
        <f>SUM(D46)/D43*100</f>
        <v>37.951807228915662</v>
      </c>
      <c r="F46" s="143">
        <v>1086</v>
      </c>
      <c r="G46" s="241">
        <f>SUM(F46)/F43*100</f>
        <v>39.036664270309132</v>
      </c>
    </row>
    <row r="47" spans="2:7" x14ac:dyDescent="0.25">
      <c r="B47" s="673" t="s">
        <v>189</v>
      </c>
      <c r="C47" s="674">
        <v>9</v>
      </c>
      <c r="D47" s="675">
        <f>SUM(D48:D53)</f>
        <v>3409</v>
      </c>
      <c r="E47" s="641">
        <f>SUM(D47)/D59*100</f>
        <v>13.715550191108427</v>
      </c>
      <c r="F47" s="675">
        <f>SUM(F48:F53)</f>
        <v>4397</v>
      </c>
      <c r="G47" s="641">
        <f>SUM(F47)/F59*100</f>
        <v>15.929427960728907</v>
      </c>
    </row>
    <row r="48" spans="2:7" x14ac:dyDescent="0.25">
      <c r="B48" s="217" t="s">
        <v>228</v>
      </c>
      <c r="C48" s="218">
        <v>91</v>
      </c>
      <c r="D48" s="143">
        <v>770</v>
      </c>
      <c r="E48" s="241">
        <f>SUM(D48)/D47*100</f>
        <v>22.587268993839835</v>
      </c>
      <c r="F48" s="143">
        <v>896</v>
      </c>
      <c r="G48" s="241">
        <f>SUM(F48)/F47*100</f>
        <v>20.377530134182397</v>
      </c>
    </row>
    <row r="49" spans="2:7" ht="30" x14ac:dyDescent="0.25">
      <c r="B49" s="217" t="s">
        <v>229</v>
      </c>
      <c r="C49" s="218">
        <v>92</v>
      </c>
      <c r="D49" s="218">
        <v>56</v>
      </c>
      <c r="E49" s="241">
        <f>SUM(D49)/D47*100</f>
        <v>1.6427104722792609</v>
      </c>
      <c r="F49" s="218">
        <v>253</v>
      </c>
      <c r="G49" s="241">
        <f>SUM(F49)/F47*100</f>
        <v>5.7539231294064139</v>
      </c>
    </row>
    <row r="50" spans="2:7" ht="30" x14ac:dyDescent="0.25">
      <c r="B50" s="217" t="s">
        <v>230</v>
      </c>
      <c r="C50" s="218">
        <v>93</v>
      </c>
      <c r="D50" s="143">
        <v>1551</v>
      </c>
      <c r="E50" s="241">
        <f>SUM(D50)/D47*100</f>
        <v>45.497213259020242</v>
      </c>
      <c r="F50" s="143">
        <v>2043</v>
      </c>
      <c r="G50" s="241">
        <f>SUM(F50)/F47*100</f>
        <v>46.463497839435981</v>
      </c>
    </row>
    <row r="51" spans="2:7" ht="30" x14ac:dyDescent="0.25">
      <c r="B51" s="217" t="s">
        <v>231</v>
      </c>
      <c r="C51" s="218">
        <v>94</v>
      </c>
      <c r="D51" s="218">
        <v>475</v>
      </c>
      <c r="E51" s="241">
        <f>SUM(D51)/D47*100</f>
        <v>13.9337048987973</v>
      </c>
      <c r="F51" s="218">
        <v>720</v>
      </c>
      <c r="G51" s="241">
        <f>SUM(F51)/F47*100</f>
        <v>16.374801000682286</v>
      </c>
    </row>
    <row r="52" spans="2:7" x14ac:dyDescent="0.25">
      <c r="B52" s="217" t="s">
        <v>232</v>
      </c>
      <c r="C52" s="218">
        <v>95</v>
      </c>
      <c r="D52" s="218">
        <v>0</v>
      </c>
      <c r="E52" s="241">
        <f>SUM(D52)/D47*100</f>
        <v>0</v>
      </c>
      <c r="F52" s="218">
        <v>0</v>
      </c>
      <c r="G52" s="241">
        <f>SUM(F52)/F47*100</f>
        <v>0</v>
      </c>
    </row>
    <row r="53" spans="2:7" x14ac:dyDescent="0.25">
      <c r="B53" s="217" t="s">
        <v>233</v>
      </c>
      <c r="C53" s="218">
        <v>96</v>
      </c>
      <c r="D53" s="143">
        <v>557</v>
      </c>
      <c r="E53" s="241">
        <f>SUM(D53)/D47*100</f>
        <v>16.339102376063362</v>
      </c>
      <c r="F53" s="143">
        <v>485</v>
      </c>
      <c r="G53" s="241">
        <f>SUM(F53)/F47*100</f>
        <v>11.030247896292927</v>
      </c>
    </row>
    <row r="54" spans="2:7" x14ac:dyDescent="0.25">
      <c r="B54" s="673" t="s">
        <v>196</v>
      </c>
      <c r="C54" s="674">
        <v>0</v>
      </c>
      <c r="D54" s="674">
        <f>SUM(D55:D57)</f>
        <v>0</v>
      </c>
      <c r="E54" s="641">
        <f>SUM(D54)/D59*100</f>
        <v>0</v>
      </c>
      <c r="F54" s="674">
        <f>SUM(F55:F57)</f>
        <v>0</v>
      </c>
      <c r="G54" s="641">
        <f>SUM(F54)/F59*100</f>
        <v>0</v>
      </c>
    </row>
    <row r="55" spans="2:7" x14ac:dyDescent="0.25">
      <c r="B55" s="217" t="s">
        <v>234</v>
      </c>
      <c r="C55" s="218">
        <v>1</v>
      </c>
      <c r="D55" s="218">
        <v>0</v>
      </c>
      <c r="E55" s="346" t="s">
        <v>102</v>
      </c>
      <c r="F55" s="218">
        <v>0</v>
      </c>
      <c r="G55" s="346" t="s">
        <v>102</v>
      </c>
    </row>
    <row r="56" spans="2:7" x14ac:dyDescent="0.25">
      <c r="B56" s="217" t="s">
        <v>235</v>
      </c>
      <c r="C56" s="218">
        <v>2</v>
      </c>
      <c r="D56" s="218">
        <v>0</v>
      </c>
      <c r="E56" s="346" t="s">
        <v>102</v>
      </c>
      <c r="F56" s="218">
        <v>0</v>
      </c>
      <c r="G56" s="346" t="s">
        <v>102</v>
      </c>
    </row>
    <row r="57" spans="2:7" ht="15.75" thickBot="1" x14ac:dyDescent="0.3">
      <c r="B57" s="219" t="s">
        <v>236</v>
      </c>
      <c r="C57" s="214">
        <v>3</v>
      </c>
      <c r="D57" s="214">
        <v>0</v>
      </c>
      <c r="E57" s="347" t="s">
        <v>102</v>
      </c>
      <c r="F57" s="214">
        <v>0</v>
      </c>
      <c r="G57" s="347" t="s">
        <v>102</v>
      </c>
    </row>
    <row r="58" spans="2:7" x14ac:dyDescent="0.25">
      <c r="B58" s="248" t="s">
        <v>240</v>
      </c>
      <c r="C58" s="249" t="s">
        <v>175</v>
      </c>
      <c r="D58" s="250">
        <v>0</v>
      </c>
      <c r="E58" s="262">
        <f>SUM(D58)/D60*100</f>
        <v>0</v>
      </c>
      <c r="F58" s="250">
        <v>0</v>
      </c>
      <c r="G58" s="262">
        <f>SUM(F58)/F60*100</f>
        <v>0</v>
      </c>
    </row>
    <row r="59" spans="2:7" ht="15.75" thickBot="1" x14ac:dyDescent="0.3">
      <c r="B59" s="251" t="s">
        <v>241</v>
      </c>
      <c r="C59" s="252" t="s">
        <v>176</v>
      </c>
      <c r="D59" s="253">
        <f>SUM(D5,D10,D17,D23,D28,D33,D37,D43,D47,D54)</f>
        <v>24855</v>
      </c>
      <c r="E59" s="265">
        <f>SUM(E5,E10,E17,E23,E28,E33,E37,E43,E47,E54)</f>
        <v>100</v>
      </c>
      <c r="F59" s="253">
        <f>SUM(F5,F10,F17,F23,F28,F33,F37,F43,F47,F54)</f>
        <v>27603</v>
      </c>
      <c r="G59" s="265">
        <f>SUM(G5,G10,G17,G23,G28,G33,G37,G43,G47,G54)</f>
        <v>100</v>
      </c>
    </row>
    <row r="60" spans="2:7" ht="19.5" thickBot="1" x14ac:dyDescent="0.3">
      <c r="B60" s="676" t="s">
        <v>58</v>
      </c>
      <c r="C60" s="677" t="s">
        <v>177</v>
      </c>
      <c r="D60" s="678">
        <f>SUM(D58:D59)</f>
        <v>24855</v>
      </c>
      <c r="E60" s="679" t="s">
        <v>102</v>
      </c>
      <c r="F60" s="678">
        <f>SUM(F58:F59)</f>
        <v>27603</v>
      </c>
      <c r="G60" s="679" t="s">
        <v>102</v>
      </c>
    </row>
    <row r="61" spans="2:7" x14ac:dyDescent="0.25">
      <c r="B61" s="223" t="s">
        <v>523</v>
      </c>
      <c r="C61" s="223"/>
      <c r="D61" s="223"/>
      <c r="E61" s="223"/>
    </row>
    <row r="62" spans="2:7" x14ac:dyDescent="0.25">
      <c r="B62" s="11" t="s">
        <v>516</v>
      </c>
      <c r="C62" s="11"/>
      <c r="D62" s="11"/>
      <c r="E62" s="11"/>
    </row>
    <row r="63" spans="2:7" x14ac:dyDescent="0.25">
      <c r="B63" s="11" t="s">
        <v>524</v>
      </c>
      <c r="C63" s="11"/>
      <c r="D63" s="11"/>
      <c r="E63" s="11"/>
    </row>
  </sheetData>
  <printOptions horizontalCentered="1"/>
  <pageMargins left="0" right="0" top="0.6692913385826772" bottom="0" header="0" footer="0"/>
  <pageSetup paperSize="9" scale="7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1:V48"/>
  <sheetViews>
    <sheetView zoomScale="50" zoomScaleNormal="50" workbookViewId="0">
      <selection activeCell="B1" sqref="B1"/>
    </sheetView>
  </sheetViews>
  <sheetFormatPr defaultRowHeight="15" x14ac:dyDescent="0.25"/>
  <cols>
    <col min="1" max="1" width="2.5703125" style="84" customWidth="1"/>
    <col min="2" max="2" width="83.42578125" style="378" customWidth="1"/>
    <col min="3" max="3" width="18" style="84" customWidth="1"/>
    <col min="4" max="4" width="18.5703125" style="84" customWidth="1"/>
    <col min="5" max="5" width="4" style="747" customWidth="1"/>
    <col min="6" max="6" width="15.85546875" style="84" customWidth="1"/>
    <col min="7" max="7" width="16.5703125" style="84" customWidth="1"/>
    <col min="8" max="8" width="17" style="84" customWidth="1"/>
    <col min="9" max="9" width="3.28515625" style="747" customWidth="1"/>
    <col min="10" max="10" width="15.7109375" style="84" customWidth="1"/>
    <col min="11" max="11" width="16.7109375" style="84" customWidth="1"/>
    <col min="12" max="12" width="17" style="84" customWidth="1"/>
    <col min="13" max="13" width="3.42578125" style="84" customWidth="1"/>
    <col min="14" max="14" width="17.5703125" style="84" customWidth="1"/>
    <col min="15" max="15" width="14.7109375" style="84" customWidth="1"/>
    <col min="16" max="16" width="15.42578125" style="84" customWidth="1"/>
    <col min="17" max="16384" width="9.140625" style="84"/>
  </cols>
  <sheetData>
    <row r="1" spans="2:22" x14ac:dyDescent="0.25">
      <c r="B1" s="11" t="s">
        <v>581</v>
      </c>
      <c r="C1" s="1"/>
      <c r="V1" s="11"/>
    </row>
    <row r="2" spans="2:22" ht="12.75" customHeight="1" x14ac:dyDescent="0.25">
      <c r="B2" s="11" t="s">
        <v>549</v>
      </c>
      <c r="C2" s="1"/>
    </row>
    <row r="3" spans="2:22" ht="15.75" customHeight="1" x14ac:dyDescent="0.25">
      <c r="B3" s="533" t="s">
        <v>550</v>
      </c>
    </row>
    <row r="4" spans="2:22" ht="15" customHeight="1" x14ac:dyDescent="0.25">
      <c r="B4" s="533" t="s">
        <v>551</v>
      </c>
    </row>
    <row r="5" spans="2:22" ht="18" customHeight="1" x14ac:dyDescent="0.25">
      <c r="B5" s="533" t="s">
        <v>552</v>
      </c>
    </row>
    <row r="6" spans="2:22" ht="16.5" customHeight="1" thickBot="1" x14ac:dyDescent="0.3">
      <c r="B6" s="533" t="s">
        <v>403</v>
      </c>
    </row>
    <row r="7" spans="2:22" ht="48" customHeight="1" thickBot="1" x14ac:dyDescent="0.3">
      <c r="B7" s="1030" t="s">
        <v>155</v>
      </c>
      <c r="C7" s="669" t="s">
        <v>577</v>
      </c>
      <c r="D7" s="748" t="s">
        <v>578</v>
      </c>
      <c r="E7" s="540"/>
      <c r="F7" s="1033" t="s">
        <v>579</v>
      </c>
      <c r="G7" s="1034"/>
      <c r="H7" s="1035"/>
      <c r="I7" s="540"/>
      <c r="J7" s="1033" t="s">
        <v>580</v>
      </c>
      <c r="K7" s="1034"/>
      <c r="L7" s="1035"/>
    </row>
    <row r="8" spans="2:22" ht="71.25" customHeight="1" thickBot="1" x14ac:dyDescent="0.3">
      <c r="B8" s="1031"/>
      <c r="C8" s="1036" t="s">
        <v>553</v>
      </c>
      <c r="D8" s="1037"/>
      <c r="E8" s="540"/>
      <c r="F8" s="1036" t="s">
        <v>554</v>
      </c>
      <c r="G8" s="1038"/>
      <c r="H8" s="1037"/>
      <c r="I8" s="749"/>
      <c r="J8" s="1036" t="s">
        <v>554</v>
      </c>
      <c r="K8" s="1038"/>
      <c r="L8" s="1037"/>
    </row>
    <row r="9" spans="2:22" ht="134.25" customHeight="1" thickBot="1" x14ac:dyDescent="0.3">
      <c r="B9" s="1032"/>
      <c r="C9" s="750" t="s">
        <v>179</v>
      </c>
      <c r="D9" s="751" t="s">
        <v>179</v>
      </c>
      <c r="E9" s="540"/>
      <c r="F9" s="750" t="s">
        <v>425</v>
      </c>
      <c r="G9" s="752" t="s">
        <v>555</v>
      </c>
      <c r="H9" s="751" t="s">
        <v>556</v>
      </c>
      <c r="I9" s="540"/>
      <c r="J9" s="750" t="s">
        <v>425</v>
      </c>
      <c r="K9" s="752" t="s">
        <v>555</v>
      </c>
      <c r="L9" s="751" t="s">
        <v>556</v>
      </c>
    </row>
    <row r="10" spans="2:22" ht="42" customHeight="1" thickBot="1" x14ac:dyDescent="0.3">
      <c r="B10" s="534" t="s">
        <v>4</v>
      </c>
      <c r="C10" s="535">
        <f>C11+C12+C26</f>
        <v>366.20000000000005</v>
      </c>
      <c r="D10" s="753">
        <f>D11+D12+D26</f>
        <v>214.77000000000004</v>
      </c>
      <c r="E10" s="754"/>
      <c r="F10" s="833">
        <f>SUM(F11+F13+F23+F26)</f>
        <v>100</v>
      </c>
      <c r="G10" s="755" t="s">
        <v>102</v>
      </c>
      <c r="H10" s="536" t="s">
        <v>102</v>
      </c>
      <c r="I10" s="756"/>
      <c r="J10" s="757">
        <f>SUM(J11+J13+J23+J26)</f>
        <v>99.999999999999972</v>
      </c>
      <c r="K10" s="755" t="s">
        <v>102</v>
      </c>
      <c r="L10" s="536" t="s">
        <v>102</v>
      </c>
    </row>
    <row r="11" spans="2:22" ht="30" customHeight="1" x14ac:dyDescent="0.25">
      <c r="B11" s="668" t="s">
        <v>19</v>
      </c>
      <c r="C11" s="823">
        <v>103.19</v>
      </c>
      <c r="D11" s="824">
        <v>85.37</v>
      </c>
      <c r="E11" s="758"/>
      <c r="F11" s="759">
        <f>C11*100/C10</f>
        <v>28.178590933915888</v>
      </c>
      <c r="G11" s="760" t="s">
        <v>102</v>
      </c>
      <c r="H11" s="761" t="s">
        <v>102</v>
      </c>
      <c r="I11" s="762"/>
      <c r="J11" s="759">
        <f>D11*100/D10</f>
        <v>39.749499464543455</v>
      </c>
      <c r="K11" s="760" t="s">
        <v>102</v>
      </c>
      <c r="L11" s="761" t="s">
        <v>102</v>
      </c>
    </row>
    <row r="12" spans="2:22" ht="56.25" customHeight="1" thickBot="1" x14ac:dyDescent="0.3">
      <c r="B12" s="763" t="s">
        <v>557</v>
      </c>
      <c r="C12" s="545">
        <f>C15+C16+C17+C18+C19+C20+C21+C22+C23</f>
        <v>249.71000000000004</v>
      </c>
      <c r="D12" s="764">
        <f>D15+D16+D17+D18+D19+D20+D21+D22+D23</f>
        <v>116.04</v>
      </c>
      <c r="E12" s="538"/>
      <c r="F12" s="765">
        <f>SUM(C12*100)/C10</f>
        <v>68.189513926815948</v>
      </c>
      <c r="G12" s="766" t="s">
        <v>102</v>
      </c>
      <c r="H12" s="767">
        <f>SUM(H23)+H13</f>
        <v>100</v>
      </c>
      <c r="I12" s="768"/>
      <c r="J12" s="769">
        <f>SUM(D12*100)/D10</f>
        <v>54.02989244307863</v>
      </c>
      <c r="K12" s="766" t="s">
        <v>102</v>
      </c>
      <c r="L12" s="770">
        <f>SUM(L23)+L13</f>
        <v>100</v>
      </c>
    </row>
    <row r="13" spans="2:22" ht="48" customHeight="1" thickBot="1" x14ac:dyDescent="0.3">
      <c r="B13" s="771" t="s">
        <v>558</v>
      </c>
      <c r="C13" s="772">
        <f>C15+C16+C17+C18+C19+C20+C21+C22</f>
        <v>89.940000000000012</v>
      </c>
      <c r="D13" s="773">
        <f>D15+D16+D17+D18+D19+D20+D21+D22</f>
        <v>114.68</v>
      </c>
      <c r="E13" s="538"/>
      <c r="F13" s="774">
        <f>C13*100/C10</f>
        <v>24.560349535772804</v>
      </c>
      <c r="G13" s="775">
        <f>SUM(G15:G22)</f>
        <v>100</v>
      </c>
      <c r="H13" s="776">
        <f>SUM(C13/C12*100)</f>
        <v>36.01778062552561</v>
      </c>
      <c r="I13" s="768"/>
      <c r="J13" s="774">
        <f>D13*100/D10</f>
        <v>53.396656888764717</v>
      </c>
      <c r="K13" s="775">
        <f>SUM(K15:K22)</f>
        <v>100</v>
      </c>
      <c r="L13" s="776">
        <f>SUM(D13/D12*100)</f>
        <v>98.827990348155808</v>
      </c>
    </row>
    <row r="14" spans="2:22" ht="25.5" customHeight="1" thickBot="1" x14ac:dyDescent="0.3">
      <c r="B14" s="777" t="s">
        <v>260</v>
      </c>
      <c r="C14" s="778"/>
      <c r="D14" s="779"/>
      <c r="E14" s="540"/>
      <c r="F14" s="1027" t="s">
        <v>260</v>
      </c>
      <c r="G14" s="1028"/>
      <c r="H14" s="1029"/>
      <c r="I14" s="539"/>
      <c r="J14" s="1027" t="s">
        <v>260</v>
      </c>
      <c r="K14" s="1028"/>
      <c r="L14" s="1029"/>
      <c r="N14" s="831" t="str">
        <f>IF(C10=N16,"sumuje się do grand total","fausz")</f>
        <v>sumuje się do grand total</v>
      </c>
      <c r="O14" s="831" t="str">
        <f>IF(D10=O16,"sumuje się do grand total","fausz")</f>
        <v>sumuje się do grand total</v>
      </c>
    </row>
    <row r="15" spans="2:22" ht="30" customHeight="1" x14ac:dyDescent="0.25">
      <c r="B15" s="541" t="s">
        <v>559</v>
      </c>
      <c r="C15" s="820">
        <v>28.92</v>
      </c>
      <c r="D15" s="815">
        <v>32.42</v>
      </c>
      <c r="E15" s="758"/>
      <c r="F15" s="780">
        <f>C15*100/C10</f>
        <v>7.8973238667394856</v>
      </c>
      <c r="G15" s="781">
        <f>C15/C13*100</f>
        <v>32.154769846564371</v>
      </c>
      <c r="H15" s="782">
        <f>SUM(C15)/C12*100</f>
        <v>11.581434463978214</v>
      </c>
      <c r="I15" s="768"/>
      <c r="J15" s="780">
        <f>D15*100/D10</f>
        <v>15.09521814033617</v>
      </c>
      <c r="K15" s="781">
        <f>SUM(D15)/D13*100</f>
        <v>28.269968608301362</v>
      </c>
      <c r="L15" s="783">
        <f>SUM(D15)/D12*100</f>
        <v>27.938641847638745</v>
      </c>
      <c r="N15" s="832" t="str">
        <f>T(C7)</f>
        <v>w I półroczu 2021 roku</v>
      </c>
      <c r="O15" s="832" t="str">
        <f>T(D7)</f>
        <v>w I półroczu 2022 roku</v>
      </c>
    </row>
    <row r="16" spans="2:22" ht="32.25" customHeight="1" x14ac:dyDescent="0.25">
      <c r="B16" s="542" t="s">
        <v>560</v>
      </c>
      <c r="C16" s="818">
        <v>0.73</v>
      </c>
      <c r="D16" s="817">
        <v>1.3</v>
      </c>
      <c r="E16" s="540"/>
      <c r="F16" s="784">
        <f>C16*100/C10</f>
        <v>0.19934462042599671</v>
      </c>
      <c r="G16" s="785">
        <f>C16/C13*100</f>
        <v>0.81165221258616849</v>
      </c>
      <c r="H16" s="786">
        <f>SUM(C16)/C12*100</f>
        <v>0.29233911337151086</v>
      </c>
      <c r="I16" s="768"/>
      <c r="J16" s="784">
        <f>D16*100/D10</f>
        <v>0.60529869162359717</v>
      </c>
      <c r="K16" s="785">
        <f>SUM(D16)/D13*100</f>
        <v>1.1335891175444714</v>
      </c>
      <c r="L16" s="787">
        <f>SUM(D16)/D12*100</f>
        <v>1.1203033436745951</v>
      </c>
      <c r="N16" s="826">
        <f>SUM(C11+C12+C26)</f>
        <v>366.20000000000005</v>
      </c>
      <c r="O16" s="826">
        <f>SUM(D11+D12+D26)</f>
        <v>214.77000000000004</v>
      </c>
    </row>
    <row r="17" spans="2:15" ht="39" customHeight="1" x14ac:dyDescent="0.25">
      <c r="B17" s="543" t="s">
        <v>561</v>
      </c>
      <c r="C17" s="818">
        <v>8.7200000000000006</v>
      </c>
      <c r="D17" s="834">
        <v>11.2</v>
      </c>
      <c r="E17" s="788"/>
      <c r="F17" s="784">
        <f>C17*100/C10</f>
        <v>2.3812124522119062</v>
      </c>
      <c r="G17" s="785">
        <f>C17/C13*100</f>
        <v>9.6953524571936853</v>
      </c>
      <c r="H17" s="786">
        <f>SUM(C17)/C12*100</f>
        <v>3.4920507789035278</v>
      </c>
      <c r="I17" s="768"/>
      <c r="J17" s="784">
        <f>D17*100/D10</f>
        <v>5.2148810355263757</v>
      </c>
      <c r="K17" s="785">
        <f>SUM(D17)/D13*100</f>
        <v>9.7663062434600612</v>
      </c>
      <c r="L17" s="787">
        <f>SUM(D17)/D12*100</f>
        <v>9.6518441916580482</v>
      </c>
      <c r="N17" s="826">
        <f>SUM(F11+F12+F26)</f>
        <v>99.999999999999986</v>
      </c>
      <c r="O17" s="826">
        <f>SUM(J11+J12+J26)</f>
        <v>99.999999999999972</v>
      </c>
    </row>
    <row r="18" spans="2:15" ht="30" customHeight="1" x14ac:dyDescent="0.25">
      <c r="B18" s="543" t="s">
        <v>562</v>
      </c>
      <c r="C18" s="818">
        <v>6.42</v>
      </c>
      <c r="D18" s="816">
        <v>9.9600000000000009</v>
      </c>
      <c r="E18" s="540"/>
      <c r="F18" s="784">
        <f>C18*100/C10</f>
        <v>1.7531403604587654</v>
      </c>
      <c r="G18" s="785">
        <f>C18/C13*100</f>
        <v>7.1380920613742491</v>
      </c>
      <c r="H18" s="786">
        <f>SUM(C18)/C12*100</f>
        <v>2.5709823395138356</v>
      </c>
      <c r="I18" s="768"/>
      <c r="J18" s="784">
        <f>D18*100/D10</f>
        <v>4.6375192065930992</v>
      </c>
      <c r="K18" s="785">
        <f>SUM(D18)/D13*100</f>
        <v>8.6850366236484131</v>
      </c>
      <c r="L18" s="787">
        <f>SUM(D18)/D12*100</f>
        <v>8.5832471561530514</v>
      </c>
      <c r="N18" s="827">
        <f>SUM(F15:F22)</f>
        <v>24.560349535772801</v>
      </c>
      <c r="O18" s="827">
        <f>SUM(J15:J22)</f>
        <v>53.396656888764717</v>
      </c>
    </row>
    <row r="19" spans="2:15" ht="36" customHeight="1" x14ac:dyDescent="0.25">
      <c r="B19" s="543" t="s">
        <v>563</v>
      </c>
      <c r="C19" s="819">
        <v>23.11</v>
      </c>
      <c r="D19" s="816">
        <v>27.77</v>
      </c>
      <c r="E19" s="540"/>
      <c r="F19" s="784">
        <f>C19*100/C10</f>
        <v>6.3107591480065528</v>
      </c>
      <c r="G19" s="785">
        <f>C19/C13*100</f>
        <v>25.694907716255276</v>
      </c>
      <c r="H19" s="786">
        <f>SUM(C19)/C12*100</f>
        <v>9.2547354931720776</v>
      </c>
      <c r="I19" s="768"/>
      <c r="J19" s="784">
        <f>D19*100/D10</f>
        <v>12.93011128183638</v>
      </c>
      <c r="K19" s="785">
        <f>SUM(D19)/D13*100</f>
        <v>24.215207534007671</v>
      </c>
      <c r="L19" s="787">
        <f>SUM(D19)/D12*100</f>
        <v>23.931402964495</v>
      </c>
      <c r="N19" s="827">
        <f>SUM(G15:G22)</f>
        <v>100</v>
      </c>
      <c r="O19" s="827">
        <f>SUM(K15:K22)</f>
        <v>100</v>
      </c>
    </row>
    <row r="20" spans="2:15" ht="47.25" customHeight="1" x14ac:dyDescent="0.25">
      <c r="B20" s="543" t="s">
        <v>564</v>
      </c>
      <c r="C20" s="818">
        <v>11.21</v>
      </c>
      <c r="D20" s="816">
        <v>19.87</v>
      </c>
      <c r="E20" s="540"/>
      <c r="F20" s="784">
        <f>C20*100/C10</f>
        <v>3.0611687602403053</v>
      </c>
      <c r="G20" s="785">
        <f>C20/C13*100</f>
        <v>12.463864798754724</v>
      </c>
      <c r="H20" s="786">
        <f>SUM(C20)/C12*100</f>
        <v>4.4892074806775861</v>
      </c>
      <c r="I20" s="768"/>
      <c r="J20" s="784">
        <f>D20*100/D10</f>
        <v>9.2517576942775968</v>
      </c>
      <c r="K20" s="785">
        <f>SUM(D20)/D13*100</f>
        <v>17.326473665852806</v>
      </c>
      <c r="L20" s="787">
        <f>SUM(D20)/D12*100</f>
        <v>17.123405722164769</v>
      </c>
      <c r="N20" s="828">
        <f>SUM(H15:H22)</f>
        <v>36.017780625525603</v>
      </c>
      <c r="O20" s="829">
        <f>SUM(L15:L22)</f>
        <v>98.827990348155794</v>
      </c>
    </row>
    <row r="21" spans="2:15" ht="33" customHeight="1" x14ac:dyDescent="0.25">
      <c r="B21" s="543" t="s">
        <v>565</v>
      </c>
      <c r="C21" s="819">
        <v>0.61</v>
      </c>
      <c r="D21" s="816">
        <v>0.86</v>
      </c>
      <c r="E21" s="540"/>
      <c r="F21" s="784">
        <f>C21*100/C10</f>
        <v>0.16657564172583286</v>
      </c>
      <c r="G21" s="785">
        <f>C21/C13*100</f>
        <v>0.6782299310651545</v>
      </c>
      <c r="H21" s="786">
        <f>SUM(C21)/C12*100</f>
        <v>0.24428336870770087</v>
      </c>
      <c r="I21" s="768"/>
      <c r="J21" s="784">
        <f>D21*100/D10</f>
        <v>0.40042836522791819</v>
      </c>
      <c r="K21" s="785">
        <f>SUM(D21)/D13*100</f>
        <v>0.74991280083711187</v>
      </c>
      <c r="L21" s="787">
        <f>SUM(D21)/D12*100</f>
        <v>0.74112375043088585</v>
      </c>
      <c r="N21" s="830">
        <f>SUM(H24:H25)</f>
        <v>63.982219374474383</v>
      </c>
      <c r="O21" s="827">
        <f>SUM(L24:L25)</f>
        <v>1.1720096518441918</v>
      </c>
    </row>
    <row r="22" spans="2:15" ht="37.5" customHeight="1" thickBot="1" x14ac:dyDescent="0.3">
      <c r="B22" s="544" t="s">
        <v>566</v>
      </c>
      <c r="C22" s="818">
        <v>10.220000000000001</v>
      </c>
      <c r="D22" s="817">
        <v>11.3</v>
      </c>
      <c r="E22" s="758"/>
      <c r="F22" s="784">
        <f>C22*100/C10</f>
        <v>2.7908246859639543</v>
      </c>
      <c r="G22" s="785">
        <f>C22/C13*100</f>
        <v>11.36313097620636</v>
      </c>
      <c r="H22" s="786">
        <f>SUM(C22)/C12*100</f>
        <v>4.0927475872011527</v>
      </c>
      <c r="I22" s="768"/>
      <c r="J22" s="784">
        <f>D22*100/D10</f>
        <v>5.2614424733435756</v>
      </c>
      <c r="K22" s="785">
        <f>SUM(D22)/D13*100</f>
        <v>9.8535054063481002</v>
      </c>
      <c r="L22" s="787">
        <f>SUM(D22)/D12*100</f>
        <v>9.7380213719407092</v>
      </c>
    </row>
    <row r="23" spans="2:15" ht="51" customHeight="1" x14ac:dyDescent="0.25">
      <c r="B23" s="789" t="s">
        <v>567</v>
      </c>
      <c r="C23" s="790">
        <f>SUM(C24+C25)</f>
        <v>159.77000000000001</v>
      </c>
      <c r="D23" s="791">
        <f>SUM(D24+D25)</f>
        <v>1.36</v>
      </c>
      <c r="E23" s="792"/>
      <c r="F23" s="793">
        <f>SUM(C23/C10)*100</f>
        <v>43.629164391043147</v>
      </c>
      <c r="G23" s="794" t="s">
        <v>102</v>
      </c>
      <c r="H23" s="537">
        <f>SUM(C23)/C12*100</f>
        <v>63.982219374474383</v>
      </c>
      <c r="I23" s="762"/>
      <c r="J23" s="795">
        <f>SUM(D23/D10)*100</f>
        <v>0.63323555431391709</v>
      </c>
      <c r="K23" s="796" t="s">
        <v>102</v>
      </c>
      <c r="L23" s="797">
        <f>SUM(D23)/D12*100</f>
        <v>1.1720096518441918</v>
      </c>
      <c r="N23" s="798">
        <f>SUM(C13/C10)*100</f>
        <v>24.560349535772801</v>
      </c>
      <c r="O23" s="798">
        <f>SUM(D13/D10)*100</f>
        <v>53.396656888764717</v>
      </c>
    </row>
    <row r="24" spans="2:15" ht="71.25" customHeight="1" x14ac:dyDescent="0.25">
      <c r="B24" s="799" t="s">
        <v>568</v>
      </c>
      <c r="C24" s="819">
        <v>159.77000000000001</v>
      </c>
      <c r="D24" s="817">
        <v>1.36</v>
      </c>
      <c r="E24" s="758"/>
      <c r="F24" s="800">
        <f>C24*100/C10</f>
        <v>43.629164391043147</v>
      </c>
      <c r="G24" s="801" t="s">
        <v>102</v>
      </c>
      <c r="H24" s="802">
        <f>SUM(C24)/C12*100</f>
        <v>63.982219374474383</v>
      </c>
      <c r="I24" s="762"/>
      <c r="J24" s="784">
        <f>D24*100/D10</f>
        <v>0.63323555431391709</v>
      </c>
      <c r="K24" s="803" t="s">
        <v>102</v>
      </c>
      <c r="L24" s="787">
        <f>SUM(D24)/D12*100</f>
        <v>1.1720096518441918</v>
      </c>
      <c r="N24" s="798">
        <f>SUM(C23/C10)*100</f>
        <v>43.629164391043147</v>
      </c>
      <c r="O24" s="798">
        <f>SUM(D23/D10)*100</f>
        <v>0.63323555431391709</v>
      </c>
    </row>
    <row r="25" spans="2:15" ht="66.75" customHeight="1" thickBot="1" x14ac:dyDescent="0.3">
      <c r="B25" s="804" t="s">
        <v>569</v>
      </c>
      <c r="C25" s="545">
        <v>0</v>
      </c>
      <c r="D25" s="825">
        <v>0</v>
      </c>
      <c r="E25" s="758"/>
      <c r="F25" s="805">
        <f>C25*100/C10</f>
        <v>0</v>
      </c>
      <c r="G25" s="806" t="s">
        <v>102</v>
      </c>
      <c r="H25" s="807">
        <f>SUM(C25)/C12*100</f>
        <v>0</v>
      </c>
      <c r="I25" s="762"/>
      <c r="J25" s="808">
        <f>D25*100/D10</f>
        <v>0</v>
      </c>
      <c r="K25" s="806" t="s">
        <v>102</v>
      </c>
      <c r="L25" s="809">
        <f>SUM(D25)/D12*100</f>
        <v>0</v>
      </c>
      <c r="N25" s="798">
        <f>SUM(N23:N24)</f>
        <v>68.189513926815948</v>
      </c>
      <c r="O25" s="798">
        <f>SUM(O23:O24)</f>
        <v>54.029892443078637</v>
      </c>
    </row>
    <row r="26" spans="2:15" ht="39.75" customHeight="1" thickBot="1" x14ac:dyDescent="0.3">
      <c r="B26" s="810" t="s">
        <v>20</v>
      </c>
      <c r="C26" s="821">
        <v>13.3</v>
      </c>
      <c r="D26" s="822">
        <v>13.36</v>
      </c>
      <c r="E26" s="540"/>
      <c r="F26" s="811">
        <f>C26*100/C10</f>
        <v>3.6318951392681589</v>
      </c>
      <c r="G26" s="812" t="s">
        <v>102</v>
      </c>
      <c r="H26" s="813" t="s">
        <v>102</v>
      </c>
      <c r="I26" s="762"/>
      <c r="J26" s="811">
        <f>D26*100/D10</f>
        <v>6.2206080923778915</v>
      </c>
      <c r="K26" s="812" t="s">
        <v>102</v>
      </c>
      <c r="L26" s="813" t="s">
        <v>102</v>
      </c>
    </row>
    <row r="27" spans="2:15" ht="22.5" x14ac:dyDescent="0.3">
      <c r="B27" s="867" t="s">
        <v>587</v>
      </c>
      <c r="C27" s="868"/>
      <c r="D27" s="868"/>
      <c r="E27" s="869"/>
      <c r="F27" s="868"/>
      <c r="G27" s="868"/>
      <c r="H27" s="868"/>
      <c r="I27" s="869"/>
      <c r="J27" s="868"/>
      <c r="K27" s="868"/>
      <c r="L27" s="868"/>
    </row>
    <row r="28" spans="2:15" ht="22.5" x14ac:dyDescent="0.3">
      <c r="B28" s="867" t="s">
        <v>588</v>
      </c>
      <c r="C28" s="868"/>
      <c r="D28" s="868"/>
      <c r="E28" s="869"/>
      <c r="F28" s="868"/>
      <c r="G28" s="868"/>
      <c r="H28" s="868"/>
      <c r="I28" s="869"/>
      <c r="J28" s="868"/>
      <c r="K28" s="868"/>
      <c r="L28" s="868"/>
    </row>
    <row r="29" spans="2:15" ht="18.75" x14ac:dyDescent="0.3">
      <c r="B29" s="867" t="s">
        <v>570</v>
      </c>
      <c r="C29" s="868"/>
      <c r="D29" s="868"/>
      <c r="E29" s="869"/>
      <c r="F29" s="868"/>
      <c r="G29" s="868"/>
      <c r="H29" s="868"/>
      <c r="I29" s="869"/>
      <c r="J29" s="868"/>
      <c r="K29" s="868"/>
      <c r="L29" s="868"/>
    </row>
    <row r="30" spans="2:15" ht="18.75" x14ac:dyDescent="0.3">
      <c r="B30" s="870" t="s">
        <v>325</v>
      </c>
      <c r="C30" s="868"/>
      <c r="D30" s="868"/>
      <c r="E30" s="869"/>
      <c r="F30" s="868"/>
      <c r="G30" s="868"/>
      <c r="H30" s="868"/>
      <c r="I30" s="869"/>
      <c r="J30" s="868"/>
      <c r="K30" s="868"/>
      <c r="L30" s="868"/>
    </row>
    <row r="31" spans="2:15" ht="18.75" x14ac:dyDescent="0.3">
      <c r="B31" s="870" t="s">
        <v>571</v>
      </c>
      <c r="C31" s="868"/>
      <c r="D31" s="868"/>
      <c r="E31" s="869"/>
      <c r="F31" s="868"/>
      <c r="G31" s="868"/>
      <c r="H31" s="868"/>
      <c r="I31" s="869"/>
      <c r="J31" s="868"/>
      <c r="K31" s="868"/>
      <c r="L31" s="868"/>
    </row>
    <row r="32" spans="2:15" ht="18.75" x14ac:dyDescent="0.3">
      <c r="B32" s="867" t="s">
        <v>180</v>
      </c>
      <c r="C32" s="868"/>
      <c r="D32" s="868"/>
      <c r="E32" s="869"/>
      <c r="F32" s="868"/>
      <c r="G32" s="868"/>
      <c r="H32" s="868"/>
      <c r="I32" s="869"/>
      <c r="J32" s="868"/>
      <c r="K32" s="868"/>
      <c r="L32" s="868"/>
    </row>
    <row r="33" spans="2:12" ht="18.75" x14ac:dyDescent="0.3">
      <c r="B33" s="867" t="s">
        <v>276</v>
      </c>
      <c r="C33" s="868"/>
      <c r="D33" s="868"/>
      <c r="E33" s="868"/>
      <c r="F33" s="868"/>
      <c r="G33" s="868"/>
      <c r="H33" s="868"/>
      <c r="I33" s="868"/>
      <c r="J33" s="868"/>
      <c r="K33" s="868"/>
      <c r="L33" s="868"/>
    </row>
    <row r="34" spans="2:12" ht="18.75" x14ac:dyDescent="0.3">
      <c r="B34" s="871" t="s">
        <v>277</v>
      </c>
      <c r="C34" s="868"/>
      <c r="D34" s="868"/>
      <c r="E34" s="868"/>
      <c r="F34" s="868"/>
      <c r="G34" s="868"/>
      <c r="H34" s="868"/>
      <c r="I34" s="868"/>
      <c r="J34" s="868"/>
      <c r="K34" s="868"/>
      <c r="L34" s="868"/>
    </row>
    <row r="35" spans="2:12" ht="18.75" x14ac:dyDescent="0.3">
      <c r="B35" s="867" t="s">
        <v>404</v>
      </c>
      <c r="C35" s="868"/>
      <c r="D35" s="868"/>
      <c r="E35" s="868"/>
      <c r="F35" s="868"/>
      <c r="G35" s="868"/>
      <c r="H35" s="868"/>
      <c r="I35" s="868"/>
      <c r="J35" s="868"/>
      <c r="K35" s="868"/>
      <c r="L35" s="868"/>
    </row>
    <row r="36" spans="2:12" ht="18.75" x14ac:dyDescent="0.3">
      <c r="B36" s="871" t="s">
        <v>402</v>
      </c>
      <c r="C36" s="868"/>
      <c r="D36" s="868"/>
      <c r="E36" s="868"/>
      <c r="F36" s="868"/>
      <c r="G36" s="868"/>
      <c r="H36" s="868"/>
      <c r="I36" s="868"/>
      <c r="J36" s="868"/>
      <c r="K36" s="868"/>
      <c r="L36" s="868"/>
    </row>
    <row r="37" spans="2:12" ht="18.75" x14ac:dyDescent="0.3">
      <c r="B37" s="871" t="s">
        <v>572</v>
      </c>
      <c r="C37" s="868"/>
      <c r="D37" s="868"/>
      <c r="E37" s="868"/>
      <c r="F37" s="868"/>
      <c r="G37" s="868"/>
      <c r="H37" s="868"/>
      <c r="I37" s="868"/>
      <c r="J37" s="868"/>
      <c r="K37" s="868"/>
      <c r="L37" s="868"/>
    </row>
    <row r="38" spans="2:12" ht="18.75" x14ac:dyDescent="0.3">
      <c r="B38" s="871" t="s">
        <v>573</v>
      </c>
      <c r="C38" s="868"/>
      <c r="D38" s="868"/>
      <c r="E38" s="868"/>
      <c r="F38" s="868"/>
      <c r="G38" s="868"/>
      <c r="H38" s="868"/>
      <c r="I38" s="868"/>
      <c r="J38" s="868"/>
      <c r="K38" s="868"/>
      <c r="L38" s="868"/>
    </row>
    <row r="39" spans="2:12" ht="18.75" x14ac:dyDescent="0.3">
      <c r="B39" s="871" t="s">
        <v>589</v>
      </c>
      <c r="C39" s="868"/>
      <c r="D39" s="868"/>
      <c r="E39" s="868"/>
      <c r="F39" s="868"/>
      <c r="G39" s="868"/>
      <c r="H39" s="868"/>
      <c r="I39" s="868"/>
      <c r="J39" s="868"/>
      <c r="K39" s="868"/>
      <c r="L39" s="868"/>
    </row>
    <row r="40" spans="2:12" ht="18.75" x14ac:dyDescent="0.3">
      <c r="B40" s="871" t="s">
        <v>574</v>
      </c>
      <c r="C40" s="868"/>
      <c r="D40" s="868"/>
      <c r="E40" s="868"/>
      <c r="F40" s="868"/>
      <c r="G40" s="868"/>
      <c r="H40" s="868"/>
      <c r="I40" s="868"/>
      <c r="J40" s="868"/>
      <c r="K40" s="868"/>
      <c r="L40" s="868"/>
    </row>
    <row r="41" spans="2:12" ht="18.75" x14ac:dyDescent="0.3">
      <c r="B41" s="871" t="s">
        <v>590</v>
      </c>
      <c r="C41" s="868"/>
      <c r="D41" s="868"/>
      <c r="E41" s="868"/>
      <c r="F41" s="868"/>
      <c r="G41" s="868"/>
      <c r="H41" s="868"/>
      <c r="I41" s="868"/>
      <c r="J41" s="868"/>
      <c r="K41" s="868"/>
      <c r="L41" s="868"/>
    </row>
    <row r="42" spans="2:12" ht="18" customHeight="1" x14ac:dyDescent="0.3">
      <c r="B42" s="867" t="s">
        <v>591</v>
      </c>
      <c r="C42" s="868"/>
      <c r="D42" s="868"/>
      <c r="E42" s="868"/>
      <c r="F42" s="868"/>
      <c r="G42" s="868"/>
      <c r="H42" s="868"/>
      <c r="I42" s="868"/>
      <c r="J42" s="868"/>
      <c r="K42" s="868"/>
      <c r="L42" s="868"/>
    </row>
    <row r="43" spans="2:12" ht="18.75" x14ac:dyDescent="0.3">
      <c r="B43" s="867" t="s">
        <v>575</v>
      </c>
      <c r="C43" s="868"/>
      <c r="D43" s="868"/>
      <c r="E43" s="868"/>
      <c r="F43" s="868"/>
      <c r="G43" s="868"/>
      <c r="H43" s="868"/>
      <c r="I43" s="868"/>
      <c r="J43" s="868"/>
      <c r="K43" s="868"/>
      <c r="L43" s="868"/>
    </row>
    <row r="44" spans="2:12" ht="18.75" x14ac:dyDescent="0.3">
      <c r="B44" s="867" t="s">
        <v>576</v>
      </c>
      <c r="C44" s="868"/>
      <c r="D44" s="868"/>
      <c r="E44" s="868"/>
      <c r="F44" s="868"/>
      <c r="G44" s="868"/>
      <c r="H44" s="868"/>
      <c r="I44" s="868"/>
      <c r="J44" s="868"/>
      <c r="K44" s="868"/>
      <c r="L44" s="868"/>
    </row>
    <row r="45" spans="2:12" x14ac:dyDescent="0.25">
      <c r="B45" s="11"/>
      <c r="E45" s="84"/>
      <c r="I45" s="84"/>
    </row>
    <row r="46" spans="2:12" x14ac:dyDescent="0.25">
      <c r="B46" s="147"/>
      <c r="E46" s="84"/>
      <c r="I46" s="84"/>
    </row>
    <row r="47" spans="2:12" x14ac:dyDescent="0.25">
      <c r="B47" s="814"/>
      <c r="E47" s="84"/>
      <c r="I47" s="84"/>
    </row>
    <row r="48" spans="2:12" x14ac:dyDescent="0.25">
      <c r="B48" s="814"/>
      <c r="E48" s="84"/>
      <c r="I48" s="84"/>
    </row>
  </sheetData>
  <mergeCells count="8">
    <mergeCell ref="F14:H14"/>
    <mergeCell ref="J14:L14"/>
    <mergeCell ref="B7:B9"/>
    <mergeCell ref="F7:H7"/>
    <mergeCell ref="J7:L7"/>
    <mergeCell ref="C8:D8"/>
    <mergeCell ref="F8:H8"/>
    <mergeCell ref="J8:L8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2:H36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4.7109375" style="11" customWidth="1"/>
    <col min="2" max="2" width="23.7109375" style="11" customWidth="1"/>
    <col min="3" max="4" width="17.85546875" style="11" customWidth="1"/>
    <col min="5" max="5" width="18.85546875" style="11" customWidth="1"/>
    <col min="6" max="6" width="18.5703125" style="11" customWidth="1"/>
    <col min="7" max="7" width="18.42578125" style="11" customWidth="1"/>
    <col min="8" max="8" width="18" style="11" customWidth="1"/>
    <col min="9" max="16384" width="9.140625" style="11"/>
  </cols>
  <sheetData>
    <row r="2" spans="2:8" x14ac:dyDescent="0.25">
      <c r="B2" s="11" t="s">
        <v>438</v>
      </c>
    </row>
    <row r="3" spans="2:8" x14ac:dyDescent="0.25">
      <c r="B3" s="11" t="s">
        <v>378</v>
      </c>
    </row>
    <row r="4" spans="2:8" ht="12.75" customHeight="1" thickBot="1" x14ac:dyDescent="0.3"/>
    <row r="5" spans="2:8" ht="25.5" customHeight="1" thickBot="1" x14ac:dyDescent="0.3">
      <c r="B5" s="879" t="s">
        <v>21</v>
      </c>
      <c r="C5" s="1039" t="s">
        <v>525</v>
      </c>
      <c r="D5" s="1040"/>
      <c r="E5" s="1040"/>
      <c r="F5" s="1040"/>
      <c r="G5" s="1040"/>
      <c r="H5" s="1041"/>
    </row>
    <row r="6" spans="2:8" ht="56.25" customHeight="1" x14ac:dyDescent="0.25">
      <c r="B6" s="916"/>
      <c r="C6" s="908" t="s">
        <v>51</v>
      </c>
      <c r="D6" s="1042"/>
      <c r="E6" s="190"/>
      <c r="F6" s="190"/>
      <c r="G6" s="190"/>
      <c r="H6" s="190"/>
    </row>
    <row r="7" spans="2:8" ht="80.25" customHeight="1" x14ac:dyDescent="0.25">
      <c r="B7" s="916"/>
      <c r="C7" s="994" t="s">
        <v>48</v>
      </c>
      <c r="D7" s="933" t="s">
        <v>49</v>
      </c>
      <c r="E7" s="421" t="s">
        <v>50</v>
      </c>
      <c r="F7" s="421" t="s">
        <v>52</v>
      </c>
      <c r="G7" s="421" t="s">
        <v>53</v>
      </c>
      <c r="H7" s="421" t="s">
        <v>409</v>
      </c>
    </row>
    <row r="8" spans="2:8" ht="35.25" customHeight="1" thickBot="1" x14ac:dyDescent="0.3">
      <c r="B8" s="916"/>
      <c r="C8" s="886"/>
      <c r="D8" s="1024"/>
      <c r="E8" s="421"/>
      <c r="F8" s="421"/>
      <c r="G8" s="421"/>
      <c r="H8" s="421"/>
    </row>
    <row r="9" spans="2:8" ht="24" customHeight="1" thickBot="1" x14ac:dyDescent="0.3">
      <c r="B9" s="234" t="s">
        <v>22</v>
      </c>
      <c r="C9" s="49">
        <f t="shared" ref="C9:H9" si="0">SUM(C10:C34)</f>
        <v>2178</v>
      </c>
      <c r="D9" s="235">
        <f t="shared" si="0"/>
        <v>1371</v>
      </c>
      <c r="E9" s="236">
        <f t="shared" si="0"/>
        <v>4612</v>
      </c>
      <c r="F9" s="236">
        <f t="shared" si="0"/>
        <v>519</v>
      </c>
      <c r="G9" s="236">
        <f t="shared" si="0"/>
        <v>1066</v>
      </c>
      <c r="H9" s="236">
        <f t="shared" si="0"/>
        <v>1119</v>
      </c>
    </row>
    <row r="10" spans="2:8" x14ac:dyDescent="0.25">
      <c r="B10" s="59" t="s">
        <v>23</v>
      </c>
      <c r="C10" s="36">
        <v>49</v>
      </c>
      <c r="D10" s="207">
        <v>5</v>
      </c>
      <c r="E10" s="40">
        <v>109</v>
      </c>
      <c r="F10" s="40">
        <v>7</v>
      </c>
      <c r="G10" s="40">
        <v>24</v>
      </c>
      <c r="H10" s="40">
        <v>11</v>
      </c>
    </row>
    <row r="11" spans="2:8" x14ac:dyDescent="0.25">
      <c r="B11" s="12" t="s">
        <v>24</v>
      </c>
      <c r="C11" s="13">
        <v>87</v>
      </c>
      <c r="D11" s="154">
        <v>63</v>
      </c>
      <c r="E11" s="38">
        <v>163</v>
      </c>
      <c r="F11" s="38">
        <v>5</v>
      </c>
      <c r="G11" s="38">
        <v>56</v>
      </c>
      <c r="H11" s="38">
        <v>35</v>
      </c>
    </row>
    <row r="12" spans="2:8" x14ac:dyDescent="0.25">
      <c r="B12" s="12" t="s">
        <v>25</v>
      </c>
      <c r="C12" s="13">
        <v>119</v>
      </c>
      <c r="D12" s="154">
        <v>11</v>
      </c>
      <c r="E12" s="38">
        <v>145</v>
      </c>
      <c r="F12" s="38">
        <v>12</v>
      </c>
      <c r="G12" s="38">
        <v>53</v>
      </c>
      <c r="H12" s="38">
        <v>51</v>
      </c>
    </row>
    <row r="13" spans="2:8" x14ac:dyDescent="0.25">
      <c r="B13" s="12" t="s">
        <v>26</v>
      </c>
      <c r="C13" s="13">
        <v>193</v>
      </c>
      <c r="D13" s="154">
        <v>211</v>
      </c>
      <c r="E13" s="38">
        <v>277</v>
      </c>
      <c r="F13" s="38">
        <v>0</v>
      </c>
      <c r="G13" s="38">
        <v>75</v>
      </c>
      <c r="H13" s="38">
        <v>100</v>
      </c>
    </row>
    <row r="14" spans="2:8" x14ac:dyDescent="0.25">
      <c r="B14" s="12" t="s">
        <v>27</v>
      </c>
      <c r="C14" s="13">
        <v>118</v>
      </c>
      <c r="D14" s="154">
        <v>45</v>
      </c>
      <c r="E14" s="38">
        <v>231</v>
      </c>
      <c r="F14" s="38">
        <v>52</v>
      </c>
      <c r="G14" s="38">
        <v>81</v>
      </c>
      <c r="H14" s="38">
        <v>138</v>
      </c>
    </row>
    <row r="15" spans="2:8" x14ac:dyDescent="0.25">
      <c r="B15" s="12" t="s">
        <v>28</v>
      </c>
      <c r="C15" s="13">
        <v>31</v>
      </c>
      <c r="D15" s="154">
        <v>12</v>
      </c>
      <c r="E15" s="38">
        <v>154</v>
      </c>
      <c r="F15" s="38">
        <v>10</v>
      </c>
      <c r="G15" s="38">
        <v>23</v>
      </c>
      <c r="H15" s="38">
        <v>30</v>
      </c>
    </row>
    <row r="16" spans="2:8" x14ac:dyDescent="0.25">
      <c r="B16" s="12" t="s">
        <v>29</v>
      </c>
      <c r="C16" s="13">
        <v>26</v>
      </c>
      <c r="D16" s="154">
        <v>9</v>
      </c>
      <c r="E16" s="38">
        <v>113</v>
      </c>
      <c r="F16" s="38">
        <v>26</v>
      </c>
      <c r="G16" s="38">
        <v>27</v>
      </c>
      <c r="H16" s="38">
        <v>55</v>
      </c>
    </row>
    <row r="17" spans="2:8" x14ac:dyDescent="0.25">
      <c r="B17" s="12" t="s">
        <v>30</v>
      </c>
      <c r="C17" s="13">
        <v>21</v>
      </c>
      <c r="D17" s="154">
        <v>29</v>
      </c>
      <c r="E17" s="38">
        <v>76</v>
      </c>
      <c r="F17" s="38">
        <v>0</v>
      </c>
      <c r="G17" s="38">
        <v>42</v>
      </c>
      <c r="H17" s="38">
        <v>14</v>
      </c>
    </row>
    <row r="18" spans="2:8" x14ac:dyDescent="0.25">
      <c r="B18" s="12" t="s">
        <v>31</v>
      </c>
      <c r="C18" s="13">
        <v>44</v>
      </c>
      <c r="D18" s="154">
        <v>121</v>
      </c>
      <c r="E18" s="38">
        <v>350</v>
      </c>
      <c r="F18" s="38">
        <v>30</v>
      </c>
      <c r="G18" s="38">
        <v>55</v>
      </c>
      <c r="H18" s="38">
        <v>53</v>
      </c>
    </row>
    <row r="19" spans="2:8" x14ac:dyDescent="0.25">
      <c r="B19" s="12" t="s">
        <v>32</v>
      </c>
      <c r="C19" s="13">
        <v>80</v>
      </c>
      <c r="D19" s="154">
        <v>22</v>
      </c>
      <c r="E19" s="38">
        <v>201</v>
      </c>
      <c r="F19" s="38">
        <v>51</v>
      </c>
      <c r="G19" s="38">
        <v>26</v>
      </c>
      <c r="H19" s="38">
        <v>0</v>
      </c>
    </row>
    <row r="20" spans="2:8" x14ac:dyDescent="0.25">
      <c r="B20" s="12" t="s">
        <v>33</v>
      </c>
      <c r="C20" s="13">
        <v>72</v>
      </c>
      <c r="D20" s="154">
        <v>84</v>
      </c>
      <c r="E20" s="38">
        <v>171</v>
      </c>
      <c r="F20" s="38">
        <v>32</v>
      </c>
      <c r="G20" s="38">
        <v>53</v>
      </c>
      <c r="H20" s="38">
        <v>50</v>
      </c>
    </row>
    <row r="21" spans="2:8" x14ac:dyDescent="0.25">
      <c r="B21" s="12" t="s">
        <v>34</v>
      </c>
      <c r="C21" s="13">
        <v>174</v>
      </c>
      <c r="D21" s="154">
        <v>45</v>
      </c>
      <c r="E21" s="38">
        <v>410</v>
      </c>
      <c r="F21" s="38">
        <v>0</v>
      </c>
      <c r="G21" s="38">
        <v>44</v>
      </c>
      <c r="H21" s="38">
        <v>92</v>
      </c>
    </row>
    <row r="22" spans="2:8" x14ac:dyDescent="0.25">
      <c r="B22" s="12" t="s">
        <v>35</v>
      </c>
      <c r="C22" s="13">
        <v>163</v>
      </c>
      <c r="D22" s="154">
        <v>29</v>
      </c>
      <c r="E22" s="38">
        <v>256</v>
      </c>
      <c r="F22" s="38">
        <v>25</v>
      </c>
      <c r="G22" s="38">
        <v>67</v>
      </c>
      <c r="H22" s="38">
        <v>30</v>
      </c>
    </row>
    <row r="23" spans="2:8" x14ac:dyDescent="0.25">
      <c r="B23" s="18" t="s">
        <v>36</v>
      </c>
      <c r="C23" s="13">
        <v>119</v>
      </c>
      <c r="D23" s="154">
        <v>95</v>
      </c>
      <c r="E23" s="237">
        <v>73</v>
      </c>
      <c r="F23" s="38">
        <v>65</v>
      </c>
      <c r="G23" s="237">
        <v>24</v>
      </c>
      <c r="H23" s="38">
        <v>39</v>
      </c>
    </row>
    <row r="24" spans="2:8" x14ac:dyDescent="0.25">
      <c r="B24" s="18" t="s">
        <v>37</v>
      </c>
      <c r="C24" s="13">
        <v>196</v>
      </c>
      <c r="D24" s="154">
        <v>139</v>
      </c>
      <c r="E24" s="237">
        <v>338</v>
      </c>
      <c r="F24" s="38">
        <v>52</v>
      </c>
      <c r="G24" s="237">
        <v>36</v>
      </c>
      <c r="H24" s="38">
        <v>34</v>
      </c>
    </row>
    <row r="25" spans="2:8" x14ac:dyDescent="0.25">
      <c r="B25" s="18" t="s">
        <v>38</v>
      </c>
      <c r="C25" s="13">
        <v>81</v>
      </c>
      <c r="D25" s="154">
        <v>45</v>
      </c>
      <c r="E25" s="237">
        <v>173</v>
      </c>
      <c r="F25" s="38">
        <v>0</v>
      </c>
      <c r="G25" s="237">
        <v>52</v>
      </c>
      <c r="H25" s="38">
        <v>37</v>
      </c>
    </row>
    <row r="26" spans="2:8" x14ac:dyDescent="0.25">
      <c r="B26" s="18" t="s">
        <v>39</v>
      </c>
      <c r="C26" s="13">
        <v>76</v>
      </c>
      <c r="D26" s="154">
        <v>80</v>
      </c>
      <c r="E26" s="237">
        <v>196</v>
      </c>
      <c r="F26" s="38">
        <v>27</v>
      </c>
      <c r="G26" s="237">
        <v>61</v>
      </c>
      <c r="H26" s="38">
        <v>63</v>
      </c>
    </row>
    <row r="27" spans="2:8" x14ac:dyDescent="0.25">
      <c r="B27" s="18" t="s">
        <v>40</v>
      </c>
      <c r="C27" s="13">
        <v>106</v>
      </c>
      <c r="D27" s="154">
        <v>20</v>
      </c>
      <c r="E27" s="237">
        <v>87</v>
      </c>
      <c r="F27" s="38">
        <v>3</v>
      </c>
      <c r="G27" s="237">
        <v>54</v>
      </c>
      <c r="H27" s="38">
        <v>43</v>
      </c>
    </row>
    <row r="28" spans="2:8" x14ac:dyDescent="0.25">
      <c r="B28" s="18" t="s">
        <v>41</v>
      </c>
      <c r="C28" s="13">
        <v>125</v>
      </c>
      <c r="D28" s="154">
        <v>28</v>
      </c>
      <c r="E28" s="237">
        <v>176</v>
      </c>
      <c r="F28" s="38">
        <v>27</v>
      </c>
      <c r="G28" s="237">
        <v>33</v>
      </c>
      <c r="H28" s="38">
        <v>27</v>
      </c>
    </row>
    <row r="29" spans="2:8" x14ac:dyDescent="0.25">
      <c r="B29" s="18" t="s">
        <v>42</v>
      </c>
      <c r="C29" s="13">
        <v>58</v>
      </c>
      <c r="D29" s="154">
        <v>81</v>
      </c>
      <c r="E29" s="237">
        <v>384</v>
      </c>
      <c r="F29" s="38">
        <v>23</v>
      </c>
      <c r="G29" s="237">
        <v>46</v>
      </c>
      <c r="H29" s="38">
        <v>60</v>
      </c>
    </row>
    <row r="30" spans="2:8" x14ac:dyDescent="0.25">
      <c r="B30" s="18" t="s">
        <v>43</v>
      </c>
      <c r="C30" s="13">
        <v>40</v>
      </c>
      <c r="D30" s="154">
        <v>120</v>
      </c>
      <c r="E30" s="237">
        <v>88</v>
      </c>
      <c r="F30" s="38">
        <v>0</v>
      </c>
      <c r="G30" s="237">
        <v>7</v>
      </c>
      <c r="H30" s="38">
        <v>7</v>
      </c>
    </row>
    <row r="31" spans="2:8" x14ac:dyDescent="0.25">
      <c r="B31" s="18" t="s">
        <v>44</v>
      </c>
      <c r="C31" s="13">
        <v>11</v>
      </c>
      <c r="D31" s="154">
        <v>1</v>
      </c>
      <c r="E31" s="237">
        <v>42</v>
      </c>
      <c r="F31" s="38">
        <v>13</v>
      </c>
      <c r="G31" s="237">
        <v>6</v>
      </c>
      <c r="H31" s="38">
        <v>17</v>
      </c>
    </row>
    <row r="32" spans="2:8" x14ac:dyDescent="0.25">
      <c r="B32" s="18" t="s">
        <v>45</v>
      </c>
      <c r="C32" s="13">
        <v>68</v>
      </c>
      <c r="D32" s="154">
        <v>15</v>
      </c>
      <c r="E32" s="237">
        <v>49</v>
      </c>
      <c r="F32" s="38">
        <v>57</v>
      </c>
      <c r="G32" s="237">
        <v>27</v>
      </c>
      <c r="H32" s="38">
        <v>28</v>
      </c>
    </row>
    <row r="33" spans="2:8" x14ac:dyDescent="0.25">
      <c r="B33" s="18" t="s">
        <v>46</v>
      </c>
      <c r="C33" s="13">
        <v>83</v>
      </c>
      <c r="D33" s="154">
        <v>9</v>
      </c>
      <c r="E33" s="237">
        <v>221</v>
      </c>
      <c r="F33" s="38">
        <v>2</v>
      </c>
      <c r="G33" s="237">
        <v>80</v>
      </c>
      <c r="H33" s="38">
        <v>85</v>
      </c>
    </row>
    <row r="34" spans="2:8" ht="15.75" thickBot="1" x14ac:dyDescent="0.3">
      <c r="B34" s="19" t="s">
        <v>47</v>
      </c>
      <c r="C34" s="20">
        <v>38</v>
      </c>
      <c r="D34" s="155">
        <v>52</v>
      </c>
      <c r="E34" s="238">
        <v>129</v>
      </c>
      <c r="F34" s="41">
        <v>0</v>
      </c>
      <c r="G34" s="238">
        <v>14</v>
      </c>
      <c r="H34" s="41">
        <v>20</v>
      </c>
    </row>
    <row r="35" spans="2:8" x14ac:dyDescent="0.25">
      <c r="E35" s="54"/>
    </row>
    <row r="36" spans="2:8" x14ac:dyDescent="0.25">
      <c r="B36" s="55"/>
    </row>
  </sheetData>
  <mergeCells count="5">
    <mergeCell ref="C5:H5"/>
    <mergeCell ref="B5:B8"/>
    <mergeCell ref="C6:D6"/>
    <mergeCell ref="C7:C8"/>
    <mergeCell ref="D7:D8"/>
  </mergeCells>
  <pageMargins left="2.0866141732283467" right="0.6692913385826772" top="1.0236220472440944" bottom="0.31496062992125984" header="0.31496062992125984" footer="0.31496062992125984"/>
  <pageSetup paperSize="9" scale="7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2:O32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3.5703125" style="11" customWidth="1"/>
    <col min="2" max="2" width="26.28515625" style="11" customWidth="1"/>
    <col min="3" max="3" width="13.42578125" style="11" customWidth="1"/>
    <col min="4" max="4" width="15" style="11" customWidth="1"/>
    <col min="5" max="5" width="15.85546875" style="11" customWidth="1"/>
    <col min="6" max="6" width="2.7109375" style="11" customWidth="1"/>
    <col min="7" max="7" width="2.28515625" style="11" customWidth="1"/>
    <col min="8" max="8" width="9.42578125" style="11" customWidth="1"/>
    <col min="9" max="9" width="10.7109375" style="11" customWidth="1"/>
    <col min="10" max="10" width="10" style="11" customWidth="1"/>
    <col min="11" max="11" width="3.7109375" style="11" customWidth="1"/>
    <col min="12" max="12" width="8.85546875" style="11" customWidth="1"/>
    <col min="13" max="13" width="10" style="11" customWidth="1"/>
    <col min="14" max="14" width="10.140625" style="11" customWidth="1"/>
    <col min="15" max="16384" width="9.140625" style="11"/>
  </cols>
  <sheetData>
    <row r="2" spans="2:14" x14ac:dyDescent="0.25">
      <c r="B2" s="230" t="s">
        <v>441</v>
      </c>
      <c r="C2" s="230"/>
      <c r="D2" s="230"/>
      <c r="E2" s="230"/>
    </row>
    <row r="3" spans="2:14" ht="13.5" customHeight="1" x14ac:dyDescent="0.25">
      <c r="B3" s="147" t="s">
        <v>381</v>
      </c>
      <c r="C3" s="230"/>
      <c r="D3" s="230"/>
      <c r="E3" s="230"/>
    </row>
    <row r="4" spans="2:14" ht="12.75" customHeight="1" thickBot="1" x14ac:dyDescent="0.3">
      <c r="B4" s="224"/>
      <c r="C4" s="224"/>
      <c r="D4" s="224"/>
      <c r="E4" s="224"/>
    </row>
    <row r="5" spans="2:14" x14ac:dyDescent="0.25">
      <c r="B5" s="321"/>
      <c r="C5" s="322"/>
      <c r="D5" s="345" t="s">
        <v>57</v>
      </c>
      <c r="E5" s="344"/>
    </row>
    <row r="6" spans="2:14" ht="45.75" thickBot="1" x14ac:dyDescent="0.3">
      <c r="B6" s="341" t="s">
        <v>21</v>
      </c>
      <c r="C6" s="342" t="s">
        <v>256</v>
      </c>
      <c r="D6" s="342" t="s">
        <v>258</v>
      </c>
      <c r="E6" s="343" t="s">
        <v>257</v>
      </c>
      <c r="H6" s="230"/>
    </row>
    <row r="7" spans="2:14" ht="24.75" customHeight="1" thickBot="1" x14ac:dyDescent="0.3">
      <c r="B7" s="231" t="s">
        <v>22</v>
      </c>
      <c r="C7" s="232">
        <f>SUM(C8:C32)</f>
        <v>599</v>
      </c>
      <c r="D7" s="569">
        <f>SUM(D8:D32)</f>
        <v>0</v>
      </c>
      <c r="E7" s="233">
        <f>SUM(E8:E32)</f>
        <v>599</v>
      </c>
      <c r="H7" s="503" t="s">
        <v>292</v>
      </c>
      <c r="I7" s="466" t="s">
        <v>281</v>
      </c>
      <c r="J7" s="466" t="s">
        <v>282</v>
      </c>
      <c r="L7" s="500" t="s">
        <v>285</v>
      </c>
      <c r="M7" s="499" t="s">
        <v>281</v>
      </c>
      <c r="N7" s="499" t="s">
        <v>282</v>
      </c>
    </row>
    <row r="8" spans="2:14" x14ac:dyDescent="0.25">
      <c r="B8" s="229" t="s">
        <v>23</v>
      </c>
      <c r="C8" s="570">
        <f>SUM(D8:E8)</f>
        <v>0</v>
      </c>
      <c r="D8" s="260">
        <v>0</v>
      </c>
      <c r="E8" s="261">
        <v>0</v>
      </c>
      <c r="G8" s="148"/>
      <c r="H8" s="102" t="s">
        <v>331</v>
      </c>
      <c r="I8" s="14">
        <v>236</v>
      </c>
      <c r="J8" s="14">
        <v>199</v>
      </c>
      <c r="L8" s="102">
        <v>2007</v>
      </c>
      <c r="M8" s="14">
        <v>479</v>
      </c>
      <c r="N8" s="14">
        <v>437</v>
      </c>
    </row>
    <row r="9" spans="2:14" x14ac:dyDescent="0.25">
      <c r="B9" s="225" t="s">
        <v>24</v>
      </c>
      <c r="C9" s="9">
        <f>SUM(D9:E9)</f>
        <v>0</v>
      </c>
      <c r="D9" s="143">
        <v>0</v>
      </c>
      <c r="E9" s="144">
        <v>0</v>
      </c>
      <c r="G9" s="148"/>
      <c r="H9" s="102" t="s">
        <v>332</v>
      </c>
      <c r="I9" s="14">
        <v>1321</v>
      </c>
      <c r="J9" s="14">
        <v>909</v>
      </c>
      <c r="L9" s="102">
        <v>2008</v>
      </c>
      <c r="M9" s="14">
        <v>4570</v>
      </c>
      <c r="N9" s="14">
        <v>2154</v>
      </c>
    </row>
    <row r="10" spans="2:14" x14ac:dyDescent="0.25">
      <c r="B10" s="225" t="s">
        <v>25</v>
      </c>
      <c r="C10" s="9">
        <f>SUM(D10:E10)</f>
        <v>0</v>
      </c>
      <c r="D10" s="143">
        <v>0</v>
      </c>
      <c r="E10" s="144">
        <v>0</v>
      </c>
      <c r="H10" s="102" t="s">
        <v>333</v>
      </c>
      <c r="I10" s="874">
        <v>8218</v>
      </c>
      <c r="J10" s="874">
        <v>4590</v>
      </c>
      <c r="L10" s="102">
        <v>2009</v>
      </c>
      <c r="M10" s="14">
        <v>9176</v>
      </c>
      <c r="N10" s="14">
        <v>6255</v>
      </c>
    </row>
    <row r="11" spans="2:14" x14ac:dyDescent="0.25">
      <c r="B11" s="225" t="s">
        <v>26</v>
      </c>
      <c r="C11" s="9">
        <f>SUM(D11:E11)</f>
        <v>450</v>
      </c>
      <c r="D11" s="143">
        <v>0</v>
      </c>
      <c r="E11" s="144">
        <v>450</v>
      </c>
      <c r="H11" s="102" t="s">
        <v>334</v>
      </c>
      <c r="I11" s="14">
        <v>803</v>
      </c>
      <c r="J11" s="14">
        <v>129</v>
      </c>
      <c r="L11" s="102">
        <v>2010</v>
      </c>
      <c r="M11" s="14">
        <v>1412</v>
      </c>
      <c r="N11" s="14">
        <v>1120</v>
      </c>
    </row>
    <row r="12" spans="2:14" x14ac:dyDescent="0.25">
      <c r="B12" s="225" t="s">
        <v>27</v>
      </c>
      <c r="C12" s="9">
        <f>SUM(D12:E12)</f>
        <v>0</v>
      </c>
      <c r="D12" s="143">
        <v>0</v>
      </c>
      <c r="E12" s="144">
        <v>0</v>
      </c>
      <c r="H12" s="102" t="s">
        <v>335</v>
      </c>
      <c r="I12" s="14">
        <v>2044</v>
      </c>
      <c r="J12" s="874">
        <v>1509</v>
      </c>
      <c r="L12" s="102">
        <v>2011</v>
      </c>
      <c r="M12" s="14">
        <v>2730</v>
      </c>
      <c r="N12" s="14">
        <v>2048</v>
      </c>
    </row>
    <row r="13" spans="2:14" x14ac:dyDescent="0.25">
      <c r="B13" s="225" t="s">
        <v>28</v>
      </c>
      <c r="C13" s="9">
        <f t="shared" ref="C13:C32" si="0">SUM(D13:E13)</f>
        <v>0</v>
      </c>
      <c r="D13" s="143">
        <v>0</v>
      </c>
      <c r="E13" s="144">
        <v>0</v>
      </c>
      <c r="H13" s="102" t="s">
        <v>336</v>
      </c>
      <c r="I13" s="14">
        <v>438</v>
      </c>
      <c r="J13" s="14">
        <v>549</v>
      </c>
      <c r="L13" s="102">
        <v>2012</v>
      </c>
      <c r="M13" s="14">
        <v>1273</v>
      </c>
      <c r="N13" s="14">
        <v>1050</v>
      </c>
    </row>
    <row r="14" spans="2:14" x14ac:dyDescent="0.25">
      <c r="B14" s="225" t="s">
        <v>29</v>
      </c>
      <c r="C14" s="9">
        <f t="shared" si="0"/>
        <v>0</v>
      </c>
      <c r="D14" s="143">
        <v>0</v>
      </c>
      <c r="E14" s="144">
        <v>0</v>
      </c>
      <c r="H14" s="102" t="s">
        <v>337</v>
      </c>
      <c r="I14" s="14">
        <v>1134</v>
      </c>
      <c r="J14" s="14">
        <v>590</v>
      </c>
      <c r="L14" s="102">
        <v>2013</v>
      </c>
      <c r="M14" s="14">
        <v>2106</v>
      </c>
      <c r="N14" s="14">
        <v>1235</v>
      </c>
    </row>
    <row r="15" spans="2:14" x14ac:dyDescent="0.25">
      <c r="B15" s="225" t="s">
        <v>30</v>
      </c>
      <c r="C15" s="9">
        <f t="shared" si="0"/>
        <v>24</v>
      </c>
      <c r="D15" s="143">
        <v>0</v>
      </c>
      <c r="E15" s="144">
        <v>24</v>
      </c>
      <c r="H15" s="102" t="s">
        <v>338</v>
      </c>
      <c r="I15" s="14">
        <v>809</v>
      </c>
      <c r="J15" s="14">
        <v>378</v>
      </c>
      <c r="L15" s="102">
        <v>2014</v>
      </c>
      <c r="M15" s="14">
        <v>1311</v>
      </c>
      <c r="N15" s="14">
        <v>651</v>
      </c>
    </row>
    <row r="16" spans="2:14" x14ac:dyDescent="0.25">
      <c r="B16" s="225" t="s">
        <v>31</v>
      </c>
      <c r="C16" s="9">
        <f t="shared" si="0"/>
        <v>0</v>
      </c>
      <c r="D16" s="143">
        <v>0</v>
      </c>
      <c r="E16" s="144">
        <v>0</v>
      </c>
      <c r="H16" s="102" t="s">
        <v>339</v>
      </c>
      <c r="I16" s="14">
        <v>991</v>
      </c>
      <c r="J16" s="14">
        <v>419</v>
      </c>
      <c r="L16" s="102">
        <v>2015</v>
      </c>
      <c r="M16" s="14">
        <v>1204</v>
      </c>
      <c r="N16" s="14">
        <v>1108</v>
      </c>
    </row>
    <row r="17" spans="2:15" x14ac:dyDescent="0.25">
      <c r="B17" s="225" t="s">
        <v>32</v>
      </c>
      <c r="C17" s="9">
        <f t="shared" si="0"/>
        <v>0</v>
      </c>
      <c r="D17" s="143">
        <v>0</v>
      </c>
      <c r="E17" s="144">
        <v>0</v>
      </c>
      <c r="H17" s="102" t="s">
        <v>340</v>
      </c>
      <c r="I17" s="14">
        <v>264</v>
      </c>
      <c r="J17" s="14">
        <v>92</v>
      </c>
      <c r="L17" s="102">
        <v>2016</v>
      </c>
      <c r="M17" s="14">
        <v>720</v>
      </c>
      <c r="N17" s="14">
        <v>609</v>
      </c>
    </row>
    <row r="18" spans="2:15" x14ac:dyDescent="0.25">
      <c r="B18" s="225" t="s">
        <v>33</v>
      </c>
      <c r="C18" s="9">
        <f t="shared" si="0"/>
        <v>0</v>
      </c>
      <c r="D18" s="143">
        <v>0</v>
      </c>
      <c r="E18" s="144">
        <v>0</v>
      </c>
      <c r="H18" s="102" t="s">
        <v>341</v>
      </c>
      <c r="I18" s="14">
        <v>485</v>
      </c>
      <c r="J18" s="14">
        <v>348</v>
      </c>
      <c r="K18" s="502"/>
      <c r="L18" s="102">
        <v>2017</v>
      </c>
      <c r="M18" s="14">
        <v>819</v>
      </c>
      <c r="N18" s="14">
        <v>557</v>
      </c>
    </row>
    <row r="19" spans="2:15" x14ac:dyDescent="0.25">
      <c r="B19" s="225" t="s">
        <v>34</v>
      </c>
      <c r="C19" s="9">
        <f t="shared" si="0"/>
        <v>0</v>
      </c>
      <c r="D19" s="143">
        <v>0</v>
      </c>
      <c r="E19" s="144">
        <v>0</v>
      </c>
      <c r="H19" s="102" t="s">
        <v>283</v>
      </c>
      <c r="I19" s="14">
        <v>323</v>
      </c>
      <c r="J19" s="14">
        <v>358</v>
      </c>
      <c r="K19" s="502"/>
      <c r="L19" s="102">
        <v>2018</v>
      </c>
      <c r="M19" s="14">
        <v>587</v>
      </c>
      <c r="N19" s="14">
        <v>530</v>
      </c>
    </row>
    <row r="20" spans="2:15" x14ac:dyDescent="0.25">
      <c r="B20" s="225" t="s">
        <v>35</v>
      </c>
      <c r="C20" s="9">
        <f t="shared" si="0"/>
        <v>0</v>
      </c>
      <c r="D20" s="143">
        <v>0</v>
      </c>
      <c r="E20" s="144">
        <v>0</v>
      </c>
      <c r="H20" s="102" t="s">
        <v>326</v>
      </c>
      <c r="I20" s="14">
        <v>835</v>
      </c>
      <c r="J20" s="14">
        <v>333</v>
      </c>
      <c r="L20" s="102">
        <v>2019</v>
      </c>
      <c r="M20" s="509">
        <v>1044</v>
      </c>
      <c r="N20" s="509">
        <v>726</v>
      </c>
    </row>
    <row r="21" spans="2:15" x14ac:dyDescent="0.25">
      <c r="B21" s="225" t="s">
        <v>36</v>
      </c>
      <c r="C21" s="9">
        <f t="shared" si="0"/>
        <v>0</v>
      </c>
      <c r="D21" s="143">
        <v>0</v>
      </c>
      <c r="E21" s="144">
        <v>0</v>
      </c>
      <c r="H21" s="102" t="s">
        <v>406</v>
      </c>
      <c r="I21" s="14">
        <v>3035</v>
      </c>
      <c r="J21" s="14">
        <v>1230</v>
      </c>
      <c r="L21" s="102">
        <v>2020</v>
      </c>
      <c r="M21" s="14">
        <v>4716</v>
      </c>
      <c r="N21" s="14">
        <v>2746</v>
      </c>
      <c r="O21" s="502"/>
    </row>
    <row r="22" spans="2:15" x14ac:dyDescent="0.25">
      <c r="B22" s="225" t="s">
        <v>37</v>
      </c>
      <c r="C22" s="9">
        <f t="shared" si="0"/>
        <v>0</v>
      </c>
      <c r="D22" s="143">
        <v>0</v>
      </c>
      <c r="E22" s="144">
        <v>0</v>
      </c>
      <c r="H22" s="102" t="s">
        <v>421</v>
      </c>
      <c r="I22" s="14">
        <v>88</v>
      </c>
      <c r="J22" s="14">
        <v>238</v>
      </c>
      <c r="L22" s="102">
        <v>2021</v>
      </c>
      <c r="M22" s="14">
        <v>716</v>
      </c>
      <c r="N22" s="14">
        <v>384</v>
      </c>
      <c r="O22" s="502"/>
    </row>
    <row r="23" spans="2:15" x14ac:dyDescent="0.25">
      <c r="B23" s="225" t="s">
        <v>38</v>
      </c>
      <c r="C23" s="9">
        <f t="shared" si="0"/>
        <v>0</v>
      </c>
      <c r="D23" s="143">
        <v>0</v>
      </c>
      <c r="E23" s="144">
        <v>0</v>
      </c>
      <c r="H23" s="102" t="s">
        <v>526</v>
      </c>
      <c r="I23" s="102">
        <v>599</v>
      </c>
      <c r="J23" s="102">
        <v>204</v>
      </c>
      <c r="L23" s="102">
        <v>2022</v>
      </c>
      <c r="M23" s="568"/>
      <c r="N23" s="568"/>
    </row>
    <row r="24" spans="2:15" x14ac:dyDescent="0.25">
      <c r="B24" s="225" t="s">
        <v>39</v>
      </c>
      <c r="C24" s="9">
        <f t="shared" si="0"/>
        <v>36</v>
      </c>
      <c r="D24" s="143">
        <v>0</v>
      </c>
      <c r="E24" s="144">
        <v>36</v>
      </c>
      <c r="H24" s="11" t="s">
        <v>420</v>
      </c>
    </row>
    <row r="25" spans="2:15" x14ac:dyDescent="0.25">
      <c r="B25" s="225" t="s">
        <v>40</v>
      </c>
      <c r="C25" s="9">
        <f t="shared" si="0"/>
        <v>0</v>
      </c>
      <c r="D25" s="143">
        <v>0</v>
      </c>
      <c r="E25" s="144">
        <v>0</v>
      </c>
      <c r="J25" s="502">
        <f>SUM(J23)-J22</f>
        <v>-34</v>
      </c>
    </row>
    <row r="26" spans="2:15" x14ac:dyDescent="0.25">
      <c r="B26" s="225" t="s">
        <v>41</v>
      </c>
      <c r="C26" s="9">
        <f t="shared" si="0"/>
        <v>60</v>
      </c>
      <c r="D26" s="143">
        <v>0</v>
      </c>
      <c r="E26" s="144">
        <v>60</v>
      </c>
    </row>
    <row r="27" spans="2:15" x14ac:dyDescent="0.25">
      <c r="B27" s="225" t="s">
        <v>42</v>
      </c>
      <c r="C27" s="9">
        <f t="shared" si="0"/>
        <v>0</v>
      </c>
      <c r="D27" s="143">
        <v>0</v>
      </c>
      <c r="E27" s="144">
        <v>0</v>
      </c>
    </row>
    <row r="28" spans="2:15" x14ac:dyDescent="0.25">
      <c r="B28" s="225" t="s">
        <v>43</v>
      </c>
      <c r="C28" s="9">
        <f t="shared" si="0"/>
        <v>0</v>
      </c>
      <c r="D28" s="143">
        <v>0</v>
      </c>
      <c r="E28" s="144">
        <v>0</v>
      </c>
    </row>
    <row r="29" spans="2:15" x14ac:dyDescent="0.25">
      <c r="B29" s="225" t="s">
        <v>44</v>
      </c>
      <c r="C29" s="9">
        <f t="shared" si="0"/>
        <v>0</v>
      </c>
      <c r="D29" s="143">
        <v>0</v>
      </c>
      <c r="E29" s="144">
        <v>0</v>
      </c>
    </row>
    <row r="30" spans="2:15" x14ac:dyDescent="0.25">
      <c r="B30" s="225" t="s">
        <v>45</v>
      </c>
      <c r="C30" s="9">
        <f t="shared" si="0"/>
        <v>0</v>
      </c>
      <c r="D30" s="143">
        <v>0</v>
      </c>
      <c r="E30" s="144">
        <v>0</v>
      </c>
    </row>
    <row r="31" spans="2:15" x14ac:dyDescent="0.25">
      <c r="B31" s="225" t="s">
        <v>46</v>
      </c>
      <c r="C31" s="9">
        <f t="shared" si="0"/>
        <v>29</v>
      </c>
      <c r="D31" s="143">
        <v>0</v>
      </c>
      <c r="E31" s="144">
        <v>29</v>
      </c>
    </row>
    <row r="32" spans="2:15" ht="15.75" thickBot="1" x14ac:dyDescent="0.3">
      <c r="B32" s="226" t="s">
        <v>47</v>
      </c>
      <c r="C32" s="5">
        <f t="shared" si="0"/>
        <v>0</v>
      </c>
      <c r="D32" s="145">
        <v>0</v>
      </c>
      <c r="E32" s="146">
        <v>0</v>
      </c>
    </row>
  </sheetData>
  <printOptions horizontalCentered="1" verticalCentered="1"/>
  <pageMargins left="1.7322834645669292" right="0" top="0.6692913385826772" bottom="0" header="0" footer="0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W31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3.85546875" style="11" customWidth="1"/>
    <col min="2" max="2" width="35.28515625" style="11" customWidth="1"/>
    <col min="3" max="4" width="9.28515625" style="11" customWidth="1"/>
    <col min="5" max="5" width="8.5703125" style="11" customWidth="1"/>
    <col min="6" max="6" width="9" style="11" customWidth="1"/>
    <col min="7" max="7" width="8.7109375" style="11" customWidth="1"/>
    <col min="8" max="8" width="9.5703125" style="11" customWidth="1"/>
    <col min="9" max="9" width="9" style="11" customWidth="1"/>
    <col min="10" max="10" width="8.140625" style="11" customWidth="1"/>
    <col min="11" max="11" width="9.42578125" style="11" customWidth="1"/>
    <col min="12" max="13" width="8.85546875" style="11" customWidth="1"/>
    <col min="14" max="14" width="8.5703125" style="11" customWidth="1"/>
    <col min="15" max="19" width="8.28515625" style="11" customWidth="1"/>
    <col min="20" max="20" width="8.7109375" style="11" customWidth="1"/>
    <col min="21" max="16384" width="9.140625" style="11"/>
  </cols>
  <sheetData>
    <row r="1" spans="1:23" x14ac:dyDescent="0.25">
      <c r="B1" s="11" t="s">
        <v>439</v>
      </c>
    </row>
    <row r="2" spans="1:23" ht="12.75" customHeight="1" x14ac:dyDescent="0.25">
      <c r="B2" s="11" t="s">
        <v>528</v>
      </c>
    </row>
    <row r="3" spans="1:23" ht="10.5" customHeight="1" thickBot="1" x14ac:dyDescent="0.3"/>
    <row r="4" spans="1:23" ht="36.75" customHeight="1" thickBot="1" x14ac:dyDescent="0.3">
      <c r="B4" s="348" t="s">
        <v>3</v>
      </c>
      <c r="C4" s="349" t="s">
        <v>105</v>
      </c>
      <c r="D4" s="350" t="s">
        <v>106</v>
      </c>
      <c r="E4" s="350" t="s">
        <v>107</v>
      </c>
      <c r="F4" s="350" t="s">
        <v>108</v>
      </c>
      <c r="G4" s="351" t="s">
        <v>109</v>
      </c>
      <c r="H4" s="351" t="s">
        <v>110</v>
      </c>
      <c r="I4" s="351" t="s">
        <v>111</v>
      </c>
      <c r="J4" s="351" t="s">
        <v>112</v>
      </c>
      <c r="K4" s="351" t="s">
        <v>113</v>
      </c>
      <c r="L4" s="352" t="s">
        <v>114</v>
      </c>
      <c r="M4" s="353" t="s">
        <v>115</v>
      </c>
      <c r="N4" s="353" t="s">
        <v>279</v>
      </c>
      <c r="O4" s="353" t="s">
        <v>286</v>
      </c>
      <c r="P4" s="353" t="s">
        <v>327</v>
      </c>
      <c r="Q4" s="353" t="s">
        <v>405</v>
      </c>
      <c r="R4" s="353" t="s">
        <v>418</v>
      </c>
      <c r="S4" s="353" t="s">
        <v>527</v>
      </c>
      <c r="T4" s="354" t="s">
        <v>116</v>
      </c>
    </row>
    <row r="5" spans="1:23" ht="34.5" customHeight="1" x14ac:dyDescent="0.25">
      <c r="B5" s="129" t="s">
        <v>259</v>
      </c>
      <c r="C5" s="355">
        <v>45.9</v>
      </c>
      <c r="D5" s="356">
        <v>47.5</v>
      </c>
      <c r="E5" s="356">
        <v>49.5</v>
      </c>
      <c r="F5" s="357">
        <v>51</v>
      </c>
      <c r="G5" s="356">
        <v>50.4</v>
      </c>
      <c r="H5" s="356">
        <v>50.2</v>
      </c>
      <c r="I5" s="356">
        <v>50.3</v>
      </c>
      <c r="J5" s="356">
        <v>50.4</v>
      </c>
      <c r="K5" s="356">
        <v>50.6</v>
      </c>
      <c r="L5" s="358">
        <v>51.7</v>
      </c>
      <c r="M5" s="359">
        <v>52.6</v>
      </c>
      <c r="N5" s="359">
        <v>53.2</v>
      </c>
      <c r="O5" s="359">
        <v>53.7</v>
      </c>
      <c r="P5" s="359">
        <v>54</v>
      </c>
      <c r="Q5" s="359">
        <v>54.4</v>
      </c>
      <c r="R5" s="359">
        <v>54.7</v>
      </c>
      <c r="S5" s="359">
        <v>56.3</v>
      </c>
      <c r="T5" s="359">
        <f>SUM(S5)-R5</f>
        <v>1.5999999999999943</v>
      </c>
    </row>
    <row r="6" spans="1:23" ht="35.25" customHeight="1" thickBot="1" x14ac:dyDescent="0.3">
      <c r="B6" s="131" t="s">
        <v>289</v>
      </c>
      <c r="C6" s="360">
        <v>44.9</v>
      </c>
      <c r="D6" s="182">
        <v>47</v>
      </c>
      <c r="E6" s="182">
        <v>51</v>
      </c>
      <c r="F6" s="361">
        <v>51.8</v>
      </c>
      <c r="G6" s="361">
        <v>50.2</v>
      </c>
      <c r="H6" s="361">
        <v>49.8</v>
      </c>
      <c r="I6" s="361">
        <v>49.3</v>
      </c>
      <c r="J6" s="361">
        <v>48.6</v>
      </c>
      <c r="K6" s="361">
        <v>48.1</v>
      </c>
      <c r="L6" s="362">
        <v>46.7</v>
      </c>
      <c r="M6" s="183">
        <v>48</v>
      </c>
      <c r="N6" s="183">
        <v>50.9</v>
      </c>
      <c r="O6" s="183">
        <v>52.6</v>
      </c>
      <c r="P6" s="183">
        <v>52.2</v>
      </c>
      <c r="Q6" s="183">
        <v>51.9</v>
      </c>
      <c r="R6" s="183">
        <v>51.1</v>
      </c>
      <c r="S6" s="183">
        <v>51.6</v>
      </c>
      <c r="T6" s="183">
        <f>SUM(S6)-R6</f>
        <v>0.5</v>
      </c>
    </row>
    <row r="7" spans="1:23" ht="26.25" customHeight="1" thickBot="1" x14ac:dyDescent="0.3">
      <c r="B7" s="598" t="s">
        <v>7</v>
      </c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63"/>
      <c r="V7" s="363"/>
    </row>
    <row r="8" spans="1:23" ht="25.5" customHeight="1" thickTop="1" x14ac:dyDescent="0.25">
      <c r="B8" s="59" t="s">
        <v>288</v>
      </c>
      <c r="C8" s="364">
        <v>17.5</v>
      </c>
      <c r="D8" s="365">
        <v>20.9</v>
      </c>
      <c r="E8" s="365">
        <v>23.3</v>
      </c>
      <c r="F8" s="365">
        <v>23.6</v>
      </c>
      <c r="G8" s="365">
        <v>18.100000000000001</v>
      </c>
      <c r="H8" s="365">
        <v>19.399999999999999</v>
      </c>
      <c r="I8" s="365">
        <v>18.3</v>
      </c>
      <c r="J8" s="365">
        <v>18.5</v>
      </c>
      <c r="K8" s="365">
        <v>17.8</v>
      </c>
      <c r="L8" s="366">
        <v>18.2</v>
      </c>
      <c r="M8" s="367">
        <v>15.2</v>
      </c>
      <c r="N8" s="367">
        <v>22.1</v>
      </c>
      <c r="O8" s="367">
        <v>25.7</v>
      </c>
      <c r="P8" s="367">
        <v>24.5</v>
      </c>
      <c r="Q8" s="367">
        <v>24.2</v>
      </c>
      <c r="R8" s="367">
        <v>21.4</v>
      </c>
      <c r="S8" s="367">
        <v>21.9</v>
      </c>
      <c r="T8" s="323">
        <f>SUM(S8)-R8</f>
        <v>0.5</v>
      </c>
    </row>
    <row r="9" spans="1:23" ht="24" customHeight="1" x14ac:dyDescent="0.25">
      <c r="B9" s="12" t="s">
        <v>8</v>
      </c>
      <c r="C9" s="368">
        <v>69</v>
      </c>
      <c r="D9" s="102">
        <v>72.3</v>
      </c>
      <c r="E9" s="102">
        <v>75.599999999999994</v>
      </c>
      <c r="F9" s="16">
        <v>78</v>
      </c>
      <c r="G9" s="102">
        <v>74.599999999999994</v>
      </c>
      <c r="H9" s="16">
        <v>72</v>
      </c>
      <c r="I9" s="102">
        <v>70.599999999999994</v>
      </c>
      <c r="J9" s="102">
        <v>70.900000000000006</v>
      </c>
      <c r="K9" s="102">
        <v>70.7</v>
      </c>
      <c r="L9" s="369">
        <v>70.900000000000006</v>
      </c>
      <c r="M9" s="370">
        <v>73.2</v>
      </c>
      <c r="N9" s="370">
        <v>76.3</v>
      </c>
      <c r="O9" s="370">
        <v>77.400000000000006</v>
      </c>
      <c r="P9" s="370">
        <v>77.2</v>
      </c>
      <c r="Q9" s="370">
        <v>79.5</v>
      </c>
      <c r="R9" s="17">
        <v>78</v>
      </c>
      <c r="S9" s="17">
        <v>80.8</v>
      </c>
      <c r="T9" s="17">
        <f>SUM(S9)-R9</f>
        <v>2.7999999999999972</v>
      </c>
    </row>
    <row r="10" spans="1:23" ht="24" customHeight="1" x14ac:dyDescent="0.25">
      <c r="B10" s="12" t="s">
        <v>9</v>
      </c>
      <c r="C10" s="368">
        <v>76</v>
      </c>
      <c r="D10" s="102">
        <v>75.5</v>
      </c>
      <c r="E10" s="102">
        <v>82.2</v>
      </c>
      <c r="F10" s="16">
        <v>84</v>
      </c>
      <c r="G10" s="102">
        <v>80.3</v>
      </c>
      <c r="H10" s="102">
        <v>82.3</v>
      </c>
      <c r="I10" s="102">
        <v>79.8</v>
      </c>
      <c r="J10" s="102">
        <v>77.599999999999994</v>
      </c>
      <c r="K10" s="102">
        <v>76.3</v>
      </c>
      <c r="L10" s="369">
        <v>76.3</v>
      </c>
      <c r="M10" s="370">
        <v>78.2</v>
      </c>
      <c r="N10" s="370">
        <v>81.3</v>
      </c>
      <c r="O10" s="370">
        <v>81.900000000000006</v>
      </c>
      <c r="P10" s="370">
        <v>81.3</v>
      </c>
      <c r="Q10" s="370">
        <v>81.7</v>
      </c>
      <c r="R10" s="370">
        <v>80.8</v>
      </c>
      <c r="S10" s="370">
        <v>80.5</v>
      </c>
      <c r="T10" s="370">
        <f>SUM(S10)-R10</f>
        <v>-0.29999999999999716</v>
      </c>
    </row>
    <row r="11" spans="1:23" ht="24.75" customHeight="1" x14ac:dyDescent="0.25">
      <c r="B11" s="12" t="s">
        <v>10</v>
      </c>
      <c r="C11" s="371">
        <v>65.7</v>
      </c>
      <c r="D11" s="102">
        <v>68.400000000000006</v>
      </c>
      <c r="E11" s="102">
        <v>68.8</v>
      </c>
      <c r="F11" s="102">
        <v>73.599999999999994</v>
      </c>
      <c r="G11" s="16">
        <v>73</v>
      </c>
      <c r="H11" s="16">
        <v>73</v>
      </c>
      <c r="I11" s="102">
        <v>73.400000000000006</v>
      </c>
      <c r="J11" s="102">
        <v>71.400000000000006</v>
      </c>
      <c r="K11" s="102">
        <v>73.400000000000006</v>
      </c>
      <c r="L11" s="369">
        <v>73.5</v>
      </c>
      <c r="M11" s="370">
        <v>76.400000000000006</v>
      </c>
      <c r="N11" s="370">
        <v>77.8</v>
      </c>
      <c r="O11" s="370">
        <v>80.599999999999994</v>
      </c>
      <c r="P11" s="370">
        <v>80.599999999999994</v>
      </c>
      <c r="Q11" s="370">
        <v>80.2</v>
      </c>
      <c r="R11" s="370">
        <v>79.7</v>
      </c>
      <c r="S11" s="370">
        <v>79.3</v>
      </c>
      <c r="T11" s="370">
        <f>SUM(S11)-R11</f>
        <v>-0.40000000000000568</v>
      </c>
    </row>
    <row r="12" spans="1:23" ht="28.5" customHeight="1" thickBot="1" x14ac:dyDescent="0.3">
      <c r="B12" s="93" t="s">
        <v>11</v>
      </c>
      <c r="C12" s="372">
        <v>19</v>
      </c>
      <c r="D12" s="373">
        <v>21.1</v>
      </c>
      <c r="E12" s="373">
        <v>25.1</v>
      </c>
      <c r="F12" s="373">
        <v>25.6</v>
      </c>
      <c r="G12" s="373">
        <v>26.2</v>
      </c>
      <c r="H12" s="373">
        <v>25.9</v>
      </c>
      <c r="I12" s="373">
        <v>26.8</v>
      </c>
      <c r="J12" s="373">
        <v>24.8</v>
      </c>
      <c r="K12" s="373">
        <v>22.7</v>
      </c>
      <c r="L12" s="374">
        <v>21.4</v>
      </c>
      <c r="M12" s="375">
        <v>23.2</v>
      </c>
      <c r="N12" s="375">
        <v>24.4</v>
      </c>
      <c r="O12" s="375">
        <v>25.5</v>
      </c>
      <c r="P12" s="375">
        <v>25.2</v>
      </c>
      <c r="Q12" s="375">
        <v>23.5</v>
      </c>
      <c r="R12" s="375">
        <v>23.9</v>
      </c>
      <c r="S12" s="375">
        <v>24.3</v>
      </c>
      <c r="T12" s="375">
        <f>SUM(S12)-R12</f>
        <v>0.40000000000000213</v>
      </c>
    </row>
    <row r="13" spans="1:23" ht="30.75" customHeight="1" thickBot="1" x14ac:dyDescent="0.3">
      <c r="A13" s="363"/>
      <c r="B13" s="598" t="s">
        <v>12</v>
      </c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63"/>
      <c r="V13" s="363"/>
      <c r="W13" s="363"/>
    </row>
    <row r="14" spans="1:23" ht="25.5" customHeight="1" thickTop="1" x14ac:dyDescent="0.25">
      <c r="B14" s="59" t="s">
        <v>13</v>
      </c>
      <c r="C14" s="364">
        <v>69.8</v>
      </c>
      <c r="D14" s="365">
        <v>69.599999999999994</v>
      </c>
      <c r="E14" s="365">
        <v>74.900000000000006</v>
      </c>
      <c r="F14" s="365">
        <v>75.7</v>
      </c>
      <c r="G14" s="365">
        <v>73.3</v>
      </c>
      <c r="H14" s="365">
        <v>77.3</v>
      </c>
      <c r="I14" s="365">
        <v>73.900000000000006</v>
      </c>
      <c r="J14" s="365">
        <v>73.7</v>
      </c>
      <c r="K14" s="365">
        <v>82.3</v>
      </c>
      <c r="L14" s="366">
        <v>72.400000000000006</v>
      </c>
      <c r="M14" s="367">
        <v>75.5</v>
      </c>
      <c r="N14" s="367">
        <v>77.7</v>
      </c>
      <c r="O14" s="367">
        <v>76.400000000000006</v>
      </c>
      <c r="P14" s="367">
        <v>77.099999999999994</v>
      </c>
      <c r="Q14" s="367">
        <v>77.7</v>
      </c>
      <c r="R14" s="367">
        <v>74.900000000000006</v>
      </c>
      <c r="S14" s="367">
        <v>78.5</v>
      </c>
      <c r="T14" s="367">
        <f>SUM(S14)-R14</f>
        <v>3.5999999999999943</v>
      </c>
    </row>
    <row r="15" spans="1:23" ht="28.5" customHeight="1" x14ac:dyDescent="0.25">
      <c r="B15" s="12" t="s">
        <v>14</v>
      </c>
      <c r="C15" s="371">
        <v>56.1</v>
      </c>
      <c r="D15" s="102">
        <v>58.4</v>
      </c>
      <c r="E15" s="102">
        <v>62.3</v>
      </c>
      <c r="F15" s="16">
        <v>62</v>
      </c>
      <c r="G15" s="102">
        <v>63.3</v>
      </c>
      <c r="H15" s="102">
        <v>61.4</v>
      </c>
      <c r="I15" s="102">
        <v>60.8</v>
      </c>
      <c r="J15" s="102">
        <v>58.9</v>
      </c>
      <c r="K15" s="102">
        <v>67.3</v>
      </c>
      <c r="L15" s="369">
        <v>54.9</v>
      </c>
      <c r="M15" s="370">
        <v>57.6</v>
      </c>
      <c r="N15" s="370">
        <v>60.5</v>
      </c>
      <c r="O15" s="17">
        <v>62</v>
      </c>
      <c r="P15" s="17">
        <v>60.6</v>
      </c>
      <c r="Q15" s="17">
        <v>61</v>
      </c>
      <c r="R15" s="17">
        <v>59</v>
      </c>
      <c r="S15" s="17">
        <v>59.8</v>
      </c>
      <c r="T15" s="17">
        <f>SUM(S15)-R15</f>
        <v>0.79999999999999716</v>
      </c>
    </row>
    <row r="16" spans="1:23" ht="27" customHeight="1" x14ac:dyDescent="0.25">
      <c r="B16" s="12" t="s">
        <v>15</v>
      </c>
      <c r="C16" s="371">
        <v>38.1</v>
      </c>
      <c r="D16" s="102">
        <v>34.5</v>
      </c>
      <c r="E16" s="102">
        <v>34.9</v>
      </c>
      <c r="F16" s="102">
        <v>36.5</v>
      </c>
      <c r="G16" s="102">
        <v>34.1</v>
      </c>
      <c r="H16" s="102">
        <v>34.4</v>
      </c>
      <c r="I16" s="102">
        <v>35.4</v>
      </c>
      <c r="J16" s="102">
        <v>37.5</v>
      </c>
      <c r="K16" s="102">
        <v>48.6</v>
      </c>
      <c r="L16" s="369">
        <v>39.6</v>
      </c>
      <c r="M16" s="370">
        <v>38.799999999999997</v>
      </c>
      <c r="N16" s="370">
        <v>40.6</v>
      </c>
      <c r="O16" s="370">
        <v>47.4</v>
      </c>
      <c r="P16" s="370">
        <v>47.2</v>
      </c>
      <c r="Q16" s="370">
        <v>41.9</v>
      </c>
      <c r="R16" s="370">
        <v>43.1</v>
      </c>
      <c r="S16" s="370">
        <v>43.2</v>
      </c>
      <c r="T16" s="370">
        <f>SUM(S16)-R16</f>
        <v>0.10000000000000142</v>
      </c>
    </row>
    <row r="17" spans="2:20" ht="27.75" customHeight="1" x14ac:dyDescent="0.25">
      <c r="B17" s="12" t="s">
        <v>16</v>
      </c>
      <c r="C17" s="371">
        <v>57.4</v>
      </c>
      <c r="D17" s="102">
        <v>59.6</v>
      </c>
      <c r="E17" s="102">
        <v>61.4</v>
      </c>
      <c r="F17" s="102">
        <v>63.5</v>
      </c>
      <c r="G17" s="102">
        <v>61.4</v>
      </c>
      <c r="H17" s="102">
        <v>62.1</v>
      </c>
      <c r="I17" s="102">
        <v>59.5</v>
      </c>
      <c r="J17" s="16">
        <v>55</v>
      </c>
      <c r="K17" s="102">
        <v>63.9</v>
      </c>
      <c r="L17" s="149">
        <v>54</v>
      </c>
      <c r="M17" s="17">
        <v>53.5</v>
      </c>
      <c r="N17" s="17">
        <v>53.9</v>
      </c>
      <c r="O17" s="17">
        <v>54.4</v>
      </c>
      <c r="P17" s="17">
        <v>56.3</v>
      </c>
      <c r="Q17" s="17">
        <v>53.8</v>
      </c>
      <c r="R17" s="17">
        <v>51.3</v>
      </c>
      <c r="S17" s="17">
        <v>49.2</v>
      </c>
      <c r="T17" s="17">
        <f>SUM(S17)-R17</f>
        <v>-2.0999999999999943</v>
      </c>
    </row>
    <row r="18" spans="2:20" ht="30.75" thickBot="1" x14ac:dyDescent="0.3">
      <c r="B18" s="93" t="s">
        <v>17</v>
      </c>
      <c r="C18" s="376">
        <v>19.7</v>
      </c>
      <c r="D18" s="373">
        <v>21.8</v>
      </c>
      <c r="E18" s="373">
        <v>25.6</v>
      </c>
      <c r="F18" s="23">
        <v>25</v>
      </c>
      <c r="G18" s="373">
        <v>20.3</v>
      </c>
      <c r="H18" s="373">
        <v>17.100000000000001</v>
      </c>
      <c r="I18" s="373">
        <v>18.100000000000001</v>
      </c>
      <c r="J18" s="373">
        <v>17.600000000000001</v>
      </c>
      <c r="K18" s="373">
        <v>18.899999999999999</v>
      </c>
      <c r="L18" s="374">
        <v>11.1</v>
      </c>
      <c r="M18" s="375">
        <v>11.8</v>
      </c>
      <c r="N18" s="375">
        <v>12.5</v>
      </c>
      <c r="O18" s="375">
        <v>12.5</v>
      </c>
      <c r="P18" s="375">
        <v>12.4</v>
      </c>
      <c r="Q18" s="375">
        <v>10.7</v>
      </c>
      <c r="R18" s="375">
        <v>15.2</v>
      </c>
      <c r="S18" s="24">
        <v>12</v>
      </c>
      <c r="T18" s="24">
        <f>SUM(S18)-R18</f>
        <v>-3.1999999999999993</v>
      </c>
    </row>
    <row r="19" spans="2:20" ht="12.75" customHeight="1" x14ac:dyDescent="0.25"/>
    <row r="20" spans="2:20" x14ac:dyDescent="0.25">
      <c r="B20" s="55" t="s">
        <v>287</v>
      </c>
      <c r="T20" s="11" t="s">
        <v>544</v>
      </c>
    </row>
    <row r="21" spans="2:20" x14ac:dyDescent="0.25">
      <c r="B21" s="55" t="s">
        <v>291</v>
      </c>
      <c r="T21" s="11" t="s">
        <v>545</v>
      </c>
    </row>
    <row r="22" spans="2:20" x14ac:dyDescent="0.25">
      <c r="B22" s="55" t="s">
        <v>290</v>
      </c>
      <c r="T22" s="11" t="s">
        <v>546</v>
      </c>
    </row>
    <row r="23" spans="2:20" x14ac:dyDescent="0.25">
      <c r="B23" s="55" t="s">
        <v>328</v>
      </c>
      <c r="T23" s="11" t="s">
        <v>547</v>
      </c>
    </row>
    <row r="24" spans="2:20" x14ac:dyDescent="0.25">
      <c r="B24" s="55" t="s">
        <v>18</v>
      </c>
      <c r="T24" s="11" t="s">
        <v>548</v>
      </c>
    </row>
    <row r="25" spans="2:20" x14ac:dyDescent="0.25">
      <c r="B25" s="55" t="s">
        <v>280</v>
      </c>
    </row>
    <row r="26" spans="2:20" x14ac:dyDescent="0.25">
      <c r="B26" s="55" t="s">
        <v>419</v>
      </c>
    </row>
    <row r="27" spans="2:20" ht="13.5" customHeight="1" x14ac:dyDescent="0.25">
      <c r="B27" s="55" t="s">
        <v>261</v>
      </c>
    </row>
    <row r="31" spans="2:20" x14ac:dyDescent="0.25">
      <c r="C31" s="148"/>
    </row>
  </sheetData>
  <pageMargins left="0.9055118110236221" right="0.70866141732283472" top="1.3385826771653544" bottom="0.74803149606299213" header="0.31496062992125984" footer="0.31496062992125984"/>
  <pageSetup paperSize="9"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1:R29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32.7109375" style="11" customWidth="1"/>
    <col min="3" max="3" width="17.140625" style="11" customWidth="1"/>
    <col min="4" max="4" width="13.28515625" style="11" customWidth="1"/>
    <col min="5" max="5" width="13.5703125" style="11" customWidth="1"/>
    <col min="6" max="6" width="14.5703125" style="11" customWidth="1"/>
    <col min="7" max="7" width="17.42578125" style="11" customWidth="1"/>
    <col min="8" max="8" width="17.85546875" style="11" customWidth="1"/>
    <col min="9" max="9" width="19.140625" style="11" customWidth="1"/>
    <col min="10" max="10" width="18.7109375" style="11" customWidth="1"/>
    <col min="11" max="11" width="2.5703125" style="11" customWidth="1"/>
    <col min="12" max="12" width="11.140625" style="11" customWidth="1"/>
    <col min="13" max="13" width="11.28515625" style="11" customWidth="1"/>
    <col min="14" max="15" width="9.140625" style="11"/>
    <col min="16" max="16" width="11.7109375" style="11" customWidth="1"/>
    <col min="17" max="17" width="9.140625" style="11"/>
    <col min="18" max="18" width="9.42578125" style="11" bestFit="1" customWidth="1"/>
    <col min="19" max="16384" width="9.140625" style="11"/>
  </cols>
  <sheetData>
    <row r="1" spans="2:18" ht="12.75" customHeight="1" x14ac:dyDescent="0.25"/>
    <row r="2" spans="2:18" x14ac:dyDescent="0.25">
      <c r="B2" s="11" t="s">
        <v>481</v>
      </c>
    </row>
    <row r="3" spans="2:18" x14ac:dyDescent="0.25">
      <c r="B3" s="11" t="s">
        <v>482</v>
      </c>
    </row>
    <row r="4" spans="2:18" x14ac:dyDescent="0.25">
      <c r="B4" s="11" t="s">
        <v>483</v>
      </c>
    </row>
    <row r="5" spans="2:18" ht="9" customHeight="1" thickBot="1" x14ac:dyDescent="0.3"/>
    <row r="6" spans="2:18" ht="166.5" customHeight="1" thickBot="1" x14ac:dyDescent="0.3">
      <c r="B6" s="738" t="s">
        <v>540</v>
      </c>
      <c r="C6" s="721" t="s">
        <v>533</v>
      </c>
      <c r="D6" s="723" t="s">
        <v>487</v>
      </c>
      <c r="E6" s="729" t="s">
        <v>541</v>
      </c>
      <c r="F6" s="704" t="s">
        <v>531</v>
      </c>
      <c r="G6" s="722" t="s">
        <v>535</v>
      </c>
      <c r="H6" s="721" t="s">
        <v>534</v>
      </c>
      <c r="I6" s="726" t="s">
        <v>488</v>
      </c>
      <c r="J6" s="705" t="s">
        <v>532</v>
      </c>
      <c r="L6" s="707" t="s">
        <v>385</v>
      </c>
      <c r="M6" s="708" t="s">
        <v>384</v>
      </c>
    </row>
    <row r="7" spans="2:18" ht="24.75" customHeight="1" thickBot="1" x14ac:dyDescent="0.3">
      <c r="B7" s="606" t="s">
        <v>22</v>
      </c>
      <c r="C7" s="608">
        <f>SUM(C8:C28)</f>
        <v>69016</v>
      </c>
      <c r="D7" s="724">
        <f>SUM(D8:D28)</f>
        <v>947</v>
      </c>
      <c r="E7" s="614">
        <f t="shared" ref="E7:E28" si="0">SUM(D7/C7)*100</f>
        <v>1.3721455894285381</v>
      </c>
      <c r="F7" s="608">
        <f>SUM(F8:F28)</f>
        <v>855</v>
      </c>
      <c r="G7" s="614">
        <f>(F7/D7)*100</f>
        <v>90.285110876451952</v>
      </c>
      <c r="H7" s="608">
        <f>SUM(H8:H28)</f>
        <v>1549</v>
      </c>
      <c r="I7" s="727">
        <f>SUM(I8:I28)</f>
        <v>41</v>
      </c>
      <c r="J7" s="610">
        <f>SUM(J8:J28)</f>
        <v>36</v>
      </c>
      <c r="L7" s="739" t="s">
        <v>102</v>
      </c>
      <c r="M7" s="740" t="s">
        <v>102</v>
      </c>
      <c r="O7" s="11" t="s">
        <v>542</v>
      </c>
      <c r="Q7" s="11" t="s">
        <v>543</v>
      </c>
    </row>
    <row r="8" spans="2:18" ht="16.5" customHeight="1" x14ac:dyDescent="0.25">
      <c r="B8" s="733" t="s">
        <v>23</v>
      </c>
      <c r="C8" s="42">
        <v>1033</v>
      </c>
      <c r="D8" s="124">
        <v>11</v>
      </c>
      <c r="E8" s="734">
        <f t="shared" si="0"/>
        <v>1.0648596321393997</v>
      </c>
      <c r="F8" s="42">
        <v>11</v>
      </c>
      <c r="G8" s="43">
        <f>(F8/D8)*100</f>
        <v>100</v>
      </c>
      <c r="H8" s="42">
        <v>21</v>
      </c>
      <c r="I8" s="123">
        <v>0</v>
      </c>
      <c r="J8" s="735">
        <v>0</v>
      </c>
      <c r="L8" s="736">
        <f>RANK(E8,E8:E28,0)+COUNTIF($E$8:$E$8,E8)-1</f>
        <v>13</v>
      </c>
      <c r="M8" s="741">
        <f>RANK(E8,E8:E28,1)+COUNTIF($E$8:$E$8,E8)-1</f>
        <v>9</v>
      </c>
      <c r="O8" s="706" t="str">
        <f>INDEX(B8:J28,MATCH(1,L8:L28,0),1)</f>
        <v>p. krośnieński i miasto Krosno</v>
      </c>
      <c r="P8" s="379">
        <f>INDEX(B8:J28,MATCH(1,L8:L28,0),4)</f>
        <v>2.8537920250195468</v>
      </c>
      <c r="Q8" s="147" t="str">
        <f>INDEX(B8:J28,MATCH(1,M8:M28,0),1)</f>
        <v>kolbuszowski</v>
      </c>
      <c r="R8" s="379">
        <f>INDEX(B8:J28,MATCH(1,M8:M28,0),4)</f>
        <v>0.43183220234423197</v>
      </c>
    </row>
    <row r="9" spans="2:18" ht="15" customHeight="1" x14ac:dyDescent="0.25">
      <c r="B9" s="12" t="s">
        <v>24</v>
      </c>
      <c r="C9" s="13">
        <v>3904</v>
      </c>
      <c r="D9" s="14">
        <v>20</v>
      </c>
      <c r="E9" s="730">
        <f t="shared" si="0"/>
        <v>0.51229508196721307</v>
      </c>
      <c r="F9" s="13">
        <v>17</v>
      </c>
      <c r="G9" s="31">
        <f>(F9/D9)*100</f>
        <v>85</v>
      </c>
      <c r="H9" s="13">
        <v>36</v>
      </c>
      <c r="I9" s="94">
        <v>0</v>
      </c>
      <c r="J9" s="15">
        <v>0</v>
      </c>
      <c r="L9" s="56">
        <f>RANK(E9,E8:$E$28,0)+COUNTIF($E$8:$E$9,E9)-1</f>
        <v>20</v>
      </c>
      <c r="M9" s="459">
        <f>RANK(E9,$E8:E$28,1)+COUNTIF($E$8:$E$9,E9)-1</f>
        <v>2</v>
      </c>
      <c r="O9" s="706" t="str">
        <f>INDEX(B8:J28,MATCH(2,L8:L28,0),1)</f>
        <v>stalowowolski</v>
      </c>
      <c r="P9" s="379">
        <f>INDEX(B8:J28,MATCH(2,L8:L28,0),4)</f>
        <v>2.2073921971252566</v>
      </c>
      <c r="Q9" s="147" t="str">
        <f>INDEX(B8:J28,MATCH(2,M8:M28,0),1)</f>
        <v>brzozowski</v>
      </c>
      <c r="R9" s="379">
        <f>INDEX(B8:J28,MATCH(2,M8:M28,0),4)</f>
        <v>0.51229508196721307</v>
      </c>
    </row>
    <row r="10" spans="2:18" ht="15" customHeight="1" x14ac:dyDescent="0.25">
      <c r="B10" s="12" t="s">
        <v>25</v>
      </c>
      <c r="C10" s="13">
        <v>2394</v>
      </c>
      <c r="D10" s="14">
        <v>46</v>
      </c>
      <c r="E10" s="730">
        <f t="shared" si="0"/>
        <v>1.921470342522974</v>
      </c>
      <c r="F10" s="13">
        <v>45</v>
      </c>
      <c r="G10" s="31">
        <f t="shared" ref="G10:G28" si="1">(F10/D10)*100</f>
        <v>97.826086956521735</v>
      </c>
      <c r="H10" s="13">
        <v>75</v>
      </c>
      <c r="I10" s="94">
        <v>28</v>
      </c>
      <c r="J10" s="15">
        <v>28</v>
      </c>
      <c r="L10" s="56">
        <f>RANK(E10,E8:$E$28,0)+COUNTIF($E$8:$E$10,E10)-1</f>
        <v>4</v>
      </c>
      <c r="M10" s="459">
        <f>RANK(E10,$E8:E$28,1)+COUNTIF($E$8:$E$10,E10)-1</f>
        <v>18</v>
      </c>
      <c r="O10" s="706" t="str">
        <f>INDEX(B8:J28,MATCH(3,L8:L28,0),1)</f>
        <v>p. przemyski i miasto Przemyśl</v>
      </c>
      <c r="P10" s="379">
        <f>INDEX(B8:J28,MATCH(3,L8:L28,0),4)</f>
        <v>2.0314432079137958</v>
      </c>
      <c r="Q10" s="147" t="str">
        <f>INDEX(B8:J28,MATCH(3,M8:M28,0),1)</f>
        <v>jarosławski</v>
      </c>
      <c r="R10" s="379">
        <f>INDEX(B8:J28,MATCH(3,M8:M28,0),4)</f>
        <v>0.66724063710718895</v>
      </c>
    </row>
    <row r="11" spans="2:18" ht="15.75" customHeight="1" x14ac:dyDescent="0.25">
      <c r="B11" s="12" t="s">
        <v>26</v>
      </c>
      <c r="C11" s="13">
        <v>4646</v>
      </c>
      <c r="D11" s="14">
        <v>31</v>
      </c>
      <c r="E11" s="730">
        <f t="shared" si="0"/>
        <v>0.66724063710718895</v>
      </c>
      <c r="F11" s="13">
        <v>27</v>
      </c>
      <c r="G11" s="31">
        <f t="shared" si="1"/>
        <v>87.096774193548384</v>
      </c>
      <c r="H11" s="13">
        <v>97</v>
      </c>
      <c r="I11" s="94">
        <v>0</v>
      </c>
      <c r="J11" s="15">
        <v>0</v>
      </c>
      <c r="L11" s="56">
        <f>RANK(E11,E8:$E$28,0)+COUNTIF($E$8:$E$11,E11)-1</f>
        <v>19</v>
      </c>
      <c r="M11" s="459">
        <f>RANK(E11,$E8:E$28,1)+COUNTIF($E$8:$E$11,E11)-1</f>
        <v>3</v>
      </c>
      <c r="O11" s="706" t="str">
        <f>INDEX(B8:J28,MATCH(4,L8:L28,0),1)</f>
        <v>dębicki</v>
      </c>
      <c r="P11" s="379">
        <f>INDEX(B8:J28,MATCH(4,L8:L28,0),4)</f>
        <v>1.921470342522974</v>
      </c>
      <c r="Q11" s="147" t="str">
        <f>INDEX(B8:J28,MATCH(4,M8:M28,0),1)</f>
        <v>ropczycko-sędziszowski</v>
      </c>
      <c r="R11" s="379">
        <f>INDEX(B8:J28,MATCH(4,M8:M28,0),4)</f>
        <v>0.70611970410221925</v>
      </c>
    </row>
    <row r="12" spans="2:18" ht="16.5" customHeight="1" x14ac:dyDescent="0.25">
      <c r="B12" s="12" t="s">
        <v>27</v>
      </c>
      <c r="C12" s="13">
        <v>4770</v>
      </c>
      <c r="D12" s="14">
        <v>54</v>
      </c>
      <c r="E12" s="730">
        <f t="shared" si="0"/>
        <v>1.1320754716981132</v>
      </c>
      <c r="F12" s="13">
        <v>50</v>
      </c>
      <c r="G12" s="31">
        <f t="shared" si="1"/>
        <v>92.592592592592595</v>
      </c>
      <c r="H12" s="13">
        <v>60</v>
      </c>
      <c r="I12" s="94">
        <v>0</v>
      </c>
      <c r="J12" s="15">
        <v>0</v>
      </c>
      <c r="L12" s="56">
        <f>RANK(E12,E8:$E$28,0)+COUNTIF($E$8:$E$12,E12)-1</f>
        <v>12</v>
      </c>
      <c r="M12" s="459">
        <f>RANK(E12,$E8:E$28,1)+COUNTIF($E$8:$E$12,E12)-1</f>
        <v>10</v>
      </c>
      <c r="O12" s="706" t="str">
        <f>INDEX(B8:J28,MATCH(5,L8:L28,0),1)</f>
        <v>sanocki</v>
      </c>
      <c r="P12" s="379">
        <f>INDEX(B8:J28,MATCH(5,L8:L28,0),4)</f>
        <v>1.8915510718789406</v>
      </c>
      <c r="Q12" s="147" t="str">
        <f>INDEX(B8:J28,MATCH(5,M8:M28,0),1)</f>
        <v>strzyżowski</v>
      </c>
      <c r="R12" s="379">
        <f>INDEX(B8:J28,MATCH(5,M8:M28,0),4)</f>
        <v>0.77327559542220847</v>
      </c>
    </row>
    <row r="13" spans="2:18" ht="15.75" customHeight="1" x14ac:dyDescent="0.25">
      <c r="B13" s="12" t="s">
        <v>28</v>
      </c>
      <c r="C13" s="13">
        <v>1621</v>
      </c>
      <c r="D13" s="14">
        <v>7</v>
      </c>
      <c r="E13" s="730">
        <f t="shared" si="0"/>
        <v>0.43183220234423197</v>
      </c>
      <c r="F13" s="13">
        <v>5</v>
      </c>
      <c r="G13" s="31">
        <f t="shared" si="1"/>
        <v>71.428571428571431</v>
      </c>
      <c r="H13" s="13">
        <v>29</v>
      </c>
      <c r="I13" s="94">
        <v>0</v>
      </c>
      <c r="J13" s="15">
        <v>0</v>
      </c>
      <c r="L13" s="56">
        <f>RANK(E13,E8:$E$28,0)+COUNTIF($E$8:$E$13,E13)-1</f>
        <v>21</v>
      </c>
      <c r="M13" s="459">
        <f>RANK(E13,$E8:E$28,1)+COUNTIF($E$8:$E$13,E13)-1</f>
        <v>1</v>
      </c>
      <c r="O13" s="706" t="str">
        <f>INDEX(B8:J28,MATCH(6,L8:L28,0),1)</f>
        <v>p. rzeszowski i miasto Rzeszów</v>
      </c>
      <c r="P13" s="379">
        <f>INDEX(B8:J28,MATCH(6,L8:L28,0),4)</f>
        <v>1.8662952646239555</v>
      </c>
      <c r="Q13" s="147" t="str">
        <f>INDEX(B8:J28,MATCH(6,M8:M28,0),1)</f>
        <v>lubaczowski</v>
      </c>
      <c r="R13" s="379">
        <f>INDEX(B8:J28,MATCH(6,M8:M28,0),4)</f>
        <v>0.77890952666267221</v>
      </c>
    </row>
    <row r="14" spans="2:18" ht="15" customHeight="1" x14ac:dyDescent="0.25">
      <c r="B14" s="12" t="s">
        <v>536</v>
      </c>
      <c r="C14" s="13">
        <v>2558</v>
      </c>
      <c r="D14" s="14">
        <v>73</v>
      </c>
      <c r="E14" s="730">
        <f t="shared" si="0"/>
        <v>2.8537920250195468</v>
      </c>
      <c r="F14" s="13">
        <v>65</v>
      </c>
      <c r="G14" s="31">
        <f t="shared" si="1"/>
        <v>89.041095890410958</v>
      </c>
      <c r="H14" s="13">
        <v>77</v>
      </c>
      <c r="I14" s="94">
        <v>6</v>
      </c>
      <c r="J14" s="15">
        <v>4</v>
      </c>
      <c r="L14" s="56">
        <f>RANK(E14,E8:$E$28,0)+COUNTIF($E$8:$E$14,E14)-1</f>
        <v>1</v>
      </c>
      <c r="M14" s="459">
        <f>RANK(E14,$E8:E$28,1)+COUNTIF($E$8:$E$14,E14)-1</f>
        <v>21</v>
      </c>
      <c r="O14" s="706" t="str">
        <f>INDEX(B8:J28,MATCH(7,L8:L28,0),1)</f>
        <v>leski</v>
      </c>
      <c r="P14" s="379">
        <f>INDEX(B8:J28,MATCH(7,L8:L28,0),4)</f>
        <v>1.4743589743589742</v>
      </c>
      <c r="Q14" s="147" t="str">
        <f>INDEX(B8:J28,MATCH(7,M8:M28,0),1)</f>
        <v>przeworski</v>
      </c>
      <c r="R14" s="379">
        <f>INDEX(B8:J28,MATCH(7,M8:M28,0),4)</f>
        <v>0.85763293310463129</v>
      </c>
    </row>
    <row r="15" spans="2:18" x14ac:dyDescent="0.25">
      <c r="B15" s="616" t="s">
        <v>30</v>
      </c>
      <c r="C15" s="564">
        <v>1560</v>
      </c>
      <c r="D15" s="725">
        <v>23</v>
      </c>
      <c r="E15" s="731">
        <f t="shared" si="0"/>
        <v>1.4743589743589742</v>
      </c>
      <c r="F15" s="564">
        <v>21</v>
      </c>
      <c r="G15" s="623">
        <f t="shared" si="1"/>
        <v>91.304347826086953</v>
      </c>
      <c r="H15" s="564">
        <v>19</v>
      </c>
      <c r="I15" s="728">
        <v>0</v>
      </c>
      <c r="J15" s="619">
        <v>0</v>
      </c>
      <c r="L15" s="737">
        <f>RANK(E15,E8:$E$28,0)+COUNTIF($E$8:$E$15,E15)-1</f>
        <v>7</v>
      </c>
      <c r="M15" s="742">
        <f>RANK(E15,$E8:E$28,1)+COUNTIF($E$8:$E$15,E15)-1</f>
        <v>15</v>
      </c>
      <c r="O15" s="706" t="str">
        <f>INDEX(B8:J28,MATCH(8,L8:L28,0),1)</f>
        <v>łańcucki</v>
      </c>
      <c r="P15" s="379">
        <f>INDEX(B8:J28,MATCH(8,L8:L28,0),4)</f>
        <v>1.4695591322603219</v>
      </c>
      <c r="Q15" s="147" t="str">
        <f>INDEX(B8:J28,MATCH(8,M8:M28,0),1)</f>
        <v>niżański</v>
      </c>
      <c r="R15" s="379">
        <f>INDEX(B8:J28,MATCH(8,M8:M28,0),4)</f>
        <v>1.0200828817341407</v>
      </c>
    </row>
    <row r="16" spans="2:18" ht="16.5" customHeight="1" x14ac:dyDescent="0.25">
      <c r="B16" s="12" t="s">
        <v>31</v>
      </c>
      <c r="C16" s="13">
        <v>3283</v>
      </c>
      <c r="D16" s="14">
        <v>42</v>
      </c>
      <c r="E16" s="730">
        <f t="shared" si="0"/>
        <v>1.279317697228145</v>
      </c>
      <c r="F16" s="13">
        <v>41</v>
      </c>
      <c r="G16" s="31">
        <f t="shared" si="1"/>
        <v>97.61904761904762</v>
      </c>
      <c r="H16" s="13">
        <v>91</v>
      </c>
      <c r="I16" s="94">
        <v>2</v>
      </c>
      <c r="J16" s="15">
        <v>0</v>
      </c>
      <c r="L16" s="56">
        <f>RANK(E16,E8:$E$28,0)+COUNTIF($E$8:$E$16,E16)-1</f>
        <v>11</v>
      </c>
      <c r="M16" s="459">
        <f>RANK(E16,$E8:E$28,1)+COUNTIF($E$8:$E$16,E16)-1</f>
        <v>11</v>
      </c>
      <c r="O16" s="706" t="str">
        <f>INDEX(B8:J28,MATCH(9,L8:L28,0),1)</f>
        <v>p. tarnobrzeski i miasto Tarnobrzeg</v>
      </c>
      <c r="P16" s="379">
        <f>INDEX(B8:J28,MATCH(9,L8:L28,0),4)</f>
        <v>1.4615384615384615</v>
      </c>
      <c r="Q16" s="147" t="str">
        <f>INDEX(B8:J28,MATCH(9,M8:M28,0),1)</f>
        <v>bieszczadzki</v>
      </c>
      <c r="R16" s="379">
        <f>INDEX(B8:J28,MATCH(9,M8:M28,0),4)</f>
        <v>1.0648596321393997</v>
      </c>
    </row>
    <row r="17" spans="2:18" x14ac:dyDescent="0.25">
      <c r="B17" s="12" t="s">
        <v>32</v>
      </c>
      <c r="C17" s="13">
        <v>1669</v>
      </c>
      <c r="D17" s="14">
        <v>13</v>
      </c>
      <c r="E17" s="730">
        <f t="shared" si="0"/>
        <v>0.77890952666267221</v>
      </c>
      <c r="F17" s="13">
        <v>13</v>
      </c>
      <c r="G17" s="31">
        <f t="shared" si="1"/>
        <v>100</v>
      </c>
      <c r="H17" s="13">
        <v>48</v>
      </c>
      <c r="I17" s="94">
        <v>0</v>
      </c>
      <c r="J17" s="15">
        <v>0</v>
      </c>
      <c r="L17" s="56">
        <f>RANK(E17,E8:$E$28,0)+COUNTIF($E$8:$E$17,E17)-1</f>
        <v>16</v>
      </c>
      <c r="M17" s="459">
        <f>RANK(E17,$E8:E$28,1)+COUNTIF($E$8:$E$17,E17)-1</f>
        <v>6</v>
      </c>
      <c r="O17" s="706" t="str">
        <f>INDEX(B8:J28,MATCH(10,L8:L28,0),1)</f>
        <v>mielecki</v>
      </c>
      <c r="P17" s="379">
        <f>INDEX(B8:J28,MATCH(10,L8:L28,0),4)</f>
        <v>1.3888888888888888</v>
      </c>
      <c r="Q17" s="147" t="str">
        <f>INDEX(B8:J28,MATCH(10,M8:M28,0),1)</f>
        <v>jasielski</v>
      </c>
      <c r="R17" s="379">
        <f>INDEX(B8:J28,MATCH(10,M8:M28,0),4)</f>
        <v>1.1320754716981132</v>
      </c>
    </row>
    <row r="18" spans="2:18" x14ac:dyDescent="0.25">
      <c r="B18" s="12" t="s">
        <v>33</v>
      </c>
      <c r="C18" s="13">
        <v>2858</v>
      </c>
      <c r="D18" s="14">
        <v>42</v>
      </c>
      <c r="E18" s="730">
        <f t="shared" si="0"/>
        <v>1.4695591322603219</v>
      </c>
      <c r="F18" s="13">
        <v>41</v>
      </c>
      <c r="G18" s="31">
        <f t="shared" si="1"/>
        <v>97.61904761904762</v>
      </c>
      <c r="H18" s="13">
        <v>23</v>
      </c>
      <c r="I18" s="94">
        <v>0</v>
      </c>
      <c r="J18" s="15">
        <v>0</v>
      </c>
      <c r="L18" s="56">
        <f>RANK(E18,E8:$E$28,0)+COUNTIF($E$8:$E$18,E18)-1</f>
        <v>8</v>
      </c>
      <c r="M18" s="459">
        <f>RANK(E18,$E8:E$28,1)+COUNTIF($E$8:$E$18,E18)-1</f>
        <v>14</v>
      </c>
      <c r="O18" s="706" t="str">
        <f>INDEX(B8:J28,MATCH(11,L8:L28,0),1)</f>
        <v>leżajski</v>
      </c>
      <c r="P18" s="379">
        <f>INDEX(B8:J28,MATCH(11,L8:L28,0),4)</f>
        <v>1.279317697228145</v>
      </c>
      <c r="Q18" s="147" t="str">
        <f>INDEX(B8:J28,MATCH(11,M8:M28,0),1)</f>
        <v>leżajski</v>
      </c>
      <c r="R18" s="379">
        <f>INDEX(B8:J28,MATCH(11,M8:M28,0),4)</f>
        <v>1.279317697228145</v>
      </c>
    </row>
    <row r="19" spans="2:18" x14ac:dyDescent="0.25">
      <c r="B19" s="12" t="s">
        <v>34</v>
      </c>
      <c r="C19" s="13">
        <v>2520</v>
      </c>
      <c r="D19" s="14">
        <v>35</v>
      </c>
      <c r="E19" s="730">
        <f t="shared" si="0"/>
        <v>1.3888888888888888</v>
      </c>
      <c r="F19" s="13">
        <v>34</v>
      </c>
      <c r="G19" s="31">
        <f t="shared" si="1"/>
        <v>97.142857142857139</v>
      </c>
      <c r="H19" s="13">
        <v>55</v>
      </c>
      <c r="I19" s="94">
        <v>0</v>
      </c>
      <c r="J19" s="15">
        <v>0</v>
      </c>
      <c r="L19" s="56">
        <f>RANK(E19,E8:$E$28,0)+COUNTIF($E$8:$E$19,E19)-1</f>
        <v>10</v>
      </c>
      <c r="M19" s="459">
        <f>RANK(E19,$E8:E$28,1)+COUNTIF($E$8:$E$19,E19)-1</f>
        <v>12</v>
      </c>
      <c r="O19" s="706" t="str">
        <f>INDEX(B8:J28,MATCH(12,L8:L28,0),1)</f>
        <v>jasielski</v>
      </c>
      <c r="P19" s="379">
        <f>INDEX(B8:J28,MATCH(12,L8:L28,0),4)</f>
        <v>1.1320754716981132</v>
      </c>
      <c r="Q19" s="147" t="str">
        <f>INDEX(B8:J28,MATCH(12,M8:M28,0),1)</f>
        <v>mielecki</v>
      </c>
      <c r="R19" s="379">
        <f>INDEX(B8:J28,MATCH(12,M8:M28,0),4)</f>
        <v>1.3888888888888888</v>
      </c>
    </row>
    <row r="20" spans="2:18" x14ac:dyDescent="0.25">
      <c r="B20" s="12" t="s">
        <v>35</v>
      </c>
      <c r="C20" s="13">
        <v>3137</v>
      </c>
      <c r="D20" s="14">
        <v>32</v>
      </c>
      <c r="E20" s="730">
        <f t="shared" si="0"/>
        <v>1.0200828817341407</v>
      </c>
      <c r="F20" s="13">
        <v>31</v>
      </c>
      <c r="G20" s="31">
        <f t="shared" si="1"/>
        <v>96.875</v>
      </c>
      <c r="H20" s="13">
        <v>24</v>
      </c>
      <c r="I20" s="94">
        <v>0</v>
      </c>
      <c r="J20" s="15">
        <v>0</v>
      </c>
      <c r="L20" s="56">
        <f>RANK(E20,E8:$E$28,0)+COUNTIF($E$8:$E$20,E20)-1</f>
        <v>14</v>
      </c>
      <c r="M20" s="459">
        <f>RANK(E20,$E8:E$28,1)+COUNTIF($E$8:$E$20,E20)-1</f>
        <v>8</v>
      </c>
      <c r="O20" s="706" t="str">
        <f>INDEX(B8:J28,MATCH(13,L8:L28,0),1)</f>
        <v>bieszczadzki</v>
      </c>
      <c r="P20" s="379">
        <f>INDEX(B8:J28,MATCH(13,L8:L28,0),4)</f>
        <v>1.0648596321393997</v>
      </c>
      <c r="Q20" s="147" t="str">
        <f>INDEX(B8:J28,MATCH(13,M8:M28,0),1)</f>
        <v>p. tarnobrzeski i miasto Tarnobrzeg</v>
      </c>
      <c r="R20" s="379">
        <f>INDEX(B8:J28,MATCH(13,M8:M28,0),4)</f>
        <v>1.4615384615384615</v>
      </c>
    </row>
    <row r="21" spans="2:18" x14ac:dyDescent="0.25">
      <c r="B21" s="18" t="s">
        <v>537</v>
      </c>
      <c r="C21" s="13">
        <v>5661</v>
      </c>
      <c r="D21" s="14">
        <v>115</v>
      </c>
      <c r="E21" s="730">
        <f t="shared" si="0"/>
        <v>2.0314432079137958</v>
      </c>
      <c r="F21" s="13">
        <v>101</v>
      </c>
      <c r="G21" s="31">
        <f t="shared" si="1"/>
        <v>87.826086956521749</v>
      </c>
      <c r="H21" s="13">
        <v>151</v>
      </c>
      <c r="I21" s="94">
        <v>0</v>
      </c>
      <c r="J21" s="15">
        <v>0</v>
      </c>
      <c r="L21" s="56">
        <f>RANK(E21,E8:$E$28,0)+COUNTIF($E$8:$E$21,E21)-1</f>
        <v>3</v>
      </c>
      <c r="M21" s="459">
        <f>RANK(E21,$E8:E$28,1)+COUNTIF($E$8:$E$21,E21)-1</f>
        <v>19</v>
      </c>
      <c r="O21" s="706" t="str">
        <f>INDEX(B8:J28,MATCH(14,L8:L28,0),1)</f>
        <v>niżański</v>
      </c>
      <c r="P21" s="379">
        <f>INDEX(B8:J28,MATCH(14,L8:L28,0),4)</f>
        <v>1.0200828817341407</v>
      </c>
      <c r="Q21" s="147" t="str">
        <f>INDEX(B8:J28,MATCH(14,M8:M28,0),1)</f>
        <v>łańcucki</v>
      </c>
      <c r="R21" s="379">
        <f>INDEX(B8:J28,MATCH(14,M8:M28,0),4)</f>
        <v>1.4695591322603219</v>
      </c>
    </row>
    <row r="22" spans="2:18" x14ac:dyDescent="0.25">
      <c r="B22" s="18" t="s">
        <v>37</v>
      </c>
      <c r="C22" s="13">
        <v>3498</v>
      </c>
      <c r="D22" s="14">
        <v>30</v>
      </c>
      <c r="E22" s="730">
        <f t="shared" si="0"/>
        <v>0.85763293310463129</v>
      </c>
      <c r="F22" s="13">
        <v>25</v>
      </c>
      <c r="G22" s="31">
        <f t="shared" si="1"/>
        <v>83.333333333333343</v>
      </c>
      <c r="H22" s="13">
        <v>42</v>
      </c>
      <c r="I22" s="94">
        <v>0</v>
      </c>
      <c r="J22" s="15">
        <v>0</v>
      </c>
      <c r="L22" s="56">
        <f>RANK(E22,E8:$E$28,0)+COUNTIF($E$8:$E$22,E22)-1</f>
        <v>15</v>
      </c>
      <c r="M22" s="459">
        <f>RANK(E22,$E8:E$28,1)+COUNTIF($E$8:$E$22,E22)-1</f>
        <v>7</v>
      </c>
      <c r="O22" s="706" t="str">
        <f>INDEX(B8:J28,MATCH(15,L8:L28,0),1)</f>
        <v>przeworski</v>
      </c>
      <c r="P22" s="379">
        <f>INDEX(B8:J28,MATCH(15,L8:L28,0),4)</f>
        <v>0.85763293310463129</v>
      </c>
      <c r="Q22" s="147" t="str">
        <f>INDEX(B8:J28,MATCH(15,M8:M28,0),1)</f>
        <v>leski</v>
      </c>
      <c r="R22" s="379">
        <f>INDEX(B8:J28,MATCH(15,M8:M28,0),4)</f>
        <v>1.4743589743589742</v>
      </c>
    </row>
    <row r="23" spans="2:18" x14ac:dyDescent="0.25">
      <c r="B23" s="18" t="s">
        <v>38</v>
      </c>
      <c r="C23" s="13">
        <v>2974</v>
      </c>
      <c r="D23" s="14">
        <v>21</v>
      </c>
      <c r="E23" s="730">
        <f t="shared" si="0"/>
        <v>0.70611970410221925</v>
      </c>
      <c r="F23" s="13">
        <v>19</v>
      </c>
      <c r="G23" s="31">
        <f t="shared" si="1"/>
        <v>90.476190476190482</v>
      </c>
      <c r="H23" s="13">
        <v>53</v>
      </c>
      <c r="I23" s="94">
        <v>1</v>
      </c>
      <c r="J23" s="15">
        <v>1</v>
      </c>
      <c r="L23" s="56">
        <f>RANK(E23,E8:$E$28,0)+COUNTIF($E$8:$E$23,E23)-1</f>
        <v>18</v>
      </c>
      <c r="M23" s="459">
        <f>RANK(E23,$E8:E$28,1)+COUNTIF($E$8:$E$23,E23)-1</f>
        <v>4</v>
      </c>
      <c r="O23" s="706" t="str">
        <f>INDEX(B8:J28,MATCH(16,L8:L28,0),1)</f>
        <v>lubaczowski</v>
      </c>
      <c r="P23" s="379">
        <f>INDEX(B8:J28,MATCH(16,L8:L28,0),4)</f>
        <v>0.77890952666267221</v>
      </c>
      <c r="Q23" s="147" t="str">
        <f>INDEX(B8:J28,MATCH(16,M8:M28,0),1)</f>
        <v>p. rzeszowski i miasto Rzeszów</v>
      </c>
      <c r="R23" s="379">
        <f>INDEX(B8:J28,MATCH(16,M8:M28,0),4)</f>
        <v>1.8662952646239555</v>
      </c>
    </row>
    <row r="24" spans="2:18" x14ac:dyDescent="0.25">
      <c r="B24" s="18" t="s">
        <v>538</v>
      </c>
      <c r="C24" s="13">
        <v>10770</v>
      </c>
      <c r="D24" s="14">
        <v>201</v>
      </c>
      <c r="E24" s="730">
        <f t="shared" si="0"/>
        <v>1.8662952646239555</v>
      </c>
      <c r="F24" s="13">
        <v>173</v>
      </c>
      <c r="G24" s="31">
        <f t="shared" si="1"/>
        <v>86.069651741293526</v>
      </c>
      <c r="H24" s="13">
        <v>154</v>
      </c>
      <c r="I24" s="94">
        <v>2</v>
      </c>
      <c r="J24" s="15">
        <v>2</v>
      </c>
      <c r="L24" s="56">
        <f>RANK(E24,E8:$E$28,0)+COUNTIF($E$8:$E$24,E24)-1</f>
        <v>6</v>
      </c>
      <c r="M24" s="459">
        <f>RANK(E24,$E8:E$28,1)+COUNTIF($E$8:$E$24,E24)-1</f>
        <v>16</v>
      </c>
      <c r="O24" s="706" t="str">
        <f>INDEX(B8:J28,MATCH(17,L8:L28,0),1)</f>
        <v>strzyżowski</v>
      </c>
      <c r="P24" s="379">
        <f>INDEX(B8:J28,MATCH(17,L8:L28,0),4)</f>
        <v>0.77327559542220847</v>
      </c>
      <c r="Q24" s="147" t="str">
        <f>INDEX(B8:J28,MATCH(17,M8:M28,0),1)</f>
        <v>sanocki</v>
      </c>
      <c r="R24" s="379">
        <f>INDEX(B8:J28,MATCH(17,M8:M28,0),4)</f>
        <v>1.8915510718789406</v>
      </c>
    </row>
    <row r="25" spans="2:18" x14ac:dyDescent="0.25">
      <c r="B25" s="18" t="s">
        <v>40</v>
      </c>
      <c r="C25" s="13">
        <v>2379</v>
      </c>
      <c r="D25" s="14">
        <v>45</v>
      </c>
      <c r="E25" s="730">
        <f t="shared" si="0"/>
        <v>1.8915510718789406</v>
      </c>
      <c r="F25" s="13">
        <v>41</v>
      </c>
      <c r="G25" s="31">
        <f t="shared" si="1"/>
        <v>91.111111111111114</v>
      </c>
      <c r="H25" s="13">
        <v>93</v>
      </c>
      <c r="I25" s="94">
        <v>0</v>
      </c>
      <c r="J25" s="15">
        <v>0</v>
      </c>
      <c r="L25" s="56">
        <f>RANK(E25,E8:$E$28,0)+COUNTIF($E$8:$E$25,E25)-1</f>
        <v>5</v>
      </c>
      <c r="M25" s="459">
        <f>RANK(E25,$E8:E$28,1)+COUNTIF($E$8:$E$25,E25)-1</f>
        <v>17</v>
      </c>
      <c r="O25" s="706" t="str">
        <f>INDEX(B8:J28,MATCH(18,L8:L28,0),1)</f>
        <v>ropczycko-sędziszowski</v>
      </c>
      <c r="P25" s="379">
        <f>INDEX(B8:J28,MATCH(18,L8:L28,0),4)</f>
        <v>0.70611970410221925</v>
      </c>
      <c r="Q25" s="147" t="str">
        <f>INDEX(B8:J28,MATCH(18,M8:M28,0),1)</f>
        <v>dębicki</v>
      </c>
      <c r="R25" s="379">
        <f>INDEX(B8:J28,MATCH(18,M8:M28,0),4)</f>
        <v>1.921470342522974</v>
      </c>
    </row>
    <row r="26" spans="2:18" x14ac:dyDescent="0.25">
      <c r="B26" s="18" t="s">
        <v>41</v>
      </c>
      <c r="C26" s="13">
        <v>1948</v>
      </c>
      <c r="D26" s="14">
        <v>43</v>
      </c>
      <c r="E26" s="730">
        <f t="shared" si="0"/>
        <v>2.2073921971252566</v>
      </c>
      <c r="F26" s="13">
        <v>35</v>
      </c>
      <c r="G26" s="31">
        <f t="shared" si="1"/>
        <v>81.395348837209298</v>
      </c>
      <c r="H26" s="13">
        <v>64</v>
      </c>
      <c r="I26" s="94">
        <v>1</v>
      </c>
      <c r="J26" s="15">
        <v>0</v>
      </c>
      <c r="L26" s="56">
        <f>RANK(E26,E8:$E$28,0)+COUNTIF($E$8:$E$26,E26)-1</f>
        <v>2</v>
      </c>
      <c r="M26" s="459">
        <f>RANK(E26,$E8:E$28,1)+COUNTIF($E$8:$E$26,E26)-1</f>
        <v>20</v>
      </c>
      <c r="O26" s="706" t="str">
        <f>INDEX(B8:J28,MATCH(19,L8:L28,0),1)</f>
        <v>jarosławski</v>
      </c>
      <c r="P26" s="379">
        <f>INDEX(B8:J28,MATCH(19,L8:L28,0),4)</f>
        <v>0.66724063710718895</v>
      </c>
      <c r="Q26" s="147" t="str">
        <f>INDEX(B8:J28,MATCH(19,M8:M28,0),1)</f>
        <v>p. przemyski i miasto Przemyśl</v>
      </c>
      <c r="R26" s="379">
        <f>INDEX(B8:J28,MATCH(19,M8:M28,0),4)</f>
        <v>2.0314432079137958</v>
      </c>
    </row>
    <row r="27" spans="2:18" x14ac:dyDescent="0.25">
      <c r="B27" s="18" t="s">
        <v>42</v>
      </c>
      <c r="C27" s="13">
        <v>3233</v>
      </c>
      <c r="D27" s="14">
        <v>25</v>
      </c>
      <c r="E27" s="730">
        <f t="shared" si="0"/>
        <v>0.77327559542220847</v>
      </c>
      <c r="F27" s="13">
        <v>24</v>
      </c>
      <c r="G27" s="31">
        <f t="shared" si="1"/>
        <v>96</v>
      </c>
      <c r="H27" s="13">
        <v>30</v>
      </c>
      <c r="I27" s="94">
        <v>1</v>
      </c>
      <c r="J27" s="15">
        <v>1</v>
      </c>
      <c r="L27" s="56">
        <f>RANK(E27,E8:$E$28,0)+COUNTIF($E$8:$E$27,E27)-1</f>
        <v>17</v>
      </c>
      <c r="M27" s="459">
        <f>RANK(E27,$E8:E$28,1)+COUNTIF($E$8:$E$27,E27)-1</f>
        <v>5</v>
      </c>
      <c r="O27" s="706" t="str">
        <f>INDEX(B8:J28,MATCH(20,L8:L28,0),1)</f>
        <v>brzozowski</v>
      </c>
      <c r="P27" s="379">
        <f>INDEX(B8:J28,MATCH(20,L8:L28,0),4)</f>
        <v>0.51229508196721307</v>
      </c>
      <c r="Q27" s="147" t="str">
        <f>INDEX(B8:J28,MATCH(20,M8:M28,0),1)</f>
        <v>stalowowolski</v>
      </c>
      <c r="R27" s="379">
        <f>INDEX(B8:J28,MATCH(20,M8:M28,0),4)</f>
        <v>2.2073921971252566</v>
      </c>
    </row>
    <row r="28" spans="2:18" ht="15.75" thickBot="1" x14ac:dyDescent="0.3">
      <c r="B28" s="19" t="s">
        <v>539</v>
      </c>
      <c r="C28" s="20">
        <v>2600</v>
      </c>
      <c r="D28" s="21">
        <v>38</v>
      </c>
      <c r="E28" s="732">
        <f t="shared" si="0"/>
        <v>1.4615384615384615</v>
      </c>
      <c r="F28" s="20">
        <v>36</v>
      </c>
      <c r="G28" s="32">
        <f t="shared" si="1"/>
        <v>94.73684210526315</v>
      </c>
      <c r="H28" s="20">
        <v>307</v>
      </c>
      <c r="I28" s="95">
        <v>0</v>
      </c>
      <c r="J28" s="22">
        <v>0</v>
      </c>
      <c r="L28" s="3">
        <f>RANK(E28,E8:$E$28,0)+COUNTIF($E$8:$E$28,E28)-1</f>
        <v>9</v>
      </c>
      <c r="M28" s="743">
        <f>RANK(E28,$E8:E$28,1)+COUNTIF($E$8:$E$28,E28)-1</f>
        <v>13</v>
      </c>
      <c r="O28" s="706" t="str">
        <f>INDEX(B8:J28,MATCH(21,L8:L28,0),1)</f>
        <v>kolbuszowski</v>
      </c>
      <c r="P28" s="379">
        <f>INDEX(B8:J28,MATCH(21,L8:L28,0),4)</f>
        <v>0.43183220234423197</v>
      </c>
      <c r="Q28" s="147" t="str">
        <f>INDEX(B8:J28,MATCH(21,M8:M28,0),1)</f>
        <v>p. krośnieński i miasto Krosno</v>
      </c>
      <c r="R28" s="379">
        <f>INDEX(B8:J28,MATCH(21,M8:M28,0),4)</f>
        <v>2.8537920250195468</v>
      </c>
    </row>
    <row r="29" spans="2:18" x14ac:dyDescent="0.25">
      <c r="B29" s="55" t="s">
        <v>486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N22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35.28515625" style="11" customWidth="1"/>
    <col min="3" max="3" width="10.85546875" style="11" customWidth="1"/>
    <col min="4" max="4" width="10.28515625" style="11" customWidth="1"/>
    <col min="5" max="5" width="10.5703125" style="11" customWidth="1"/>
    <col min="6" max="6" width="10.140625" style="11" customWidth="1"/>
    <col min="7" max="7" width="10.42578125" style="11" customWidth="1"/>
    <col min="8" max="9" width="10" style="11" customWidth="1"/>
    <col min="10" max="10" width="9.7109375" style="11" customWidth="1"/>
    <col min="11" max="11" width="14" style="11" customWidth="1"/>
    <col min="12" max="12" width="2.5703125" style="11" customWidth="1"/>
    <col min="13" max="13" width="7.7109375" style="11" customWidth="1"/>
    <col min="14" max="14" width="8.5703125" style="11" customWidth="1"/>
    <col min="15" max="16384" width="9.140625" style="11"/>
  </cols>
  <sheetData>
    <row r="1" spans="2:14" ht="12" customHeight="1" x14ac:dyDescent="0.25"/>
    <row r="2" spans="2:14" x14ac:dyDescent="0.25">
      <c r="B2" s="11" t="s">
        <v>273</v>
      </c>
    </row>
    <row r="3" spans="2:14" ht="14.25" customHeight="1" x14ac:dyDescent="0.25">
      <c r="B3" s="33" t="s">
        <v>368</v>
      </c>
    </row>
    <row r="4" spans="2:14" ht="13.5" customHeight="1" thickBot="1" x14ac:dyDescent="0.3">
      <c r="B4" s="33"/>
    </row>
    <row r="5" spans="2:14" ht="34.5" customHeight="1" x14ac:dyDescent="0.25">
      <c r="B5" s="895" t="s">
        <v>117</v>
      </c>
      <c r="C5" s="897" t="s">
        <v>414</v>
      </c>
      <c r="D5" s="898"/>
      <c r="E5" s="897" t="s">
        <v>489</v>
      </c>
      <c r="F5" s="898"/>
      <c r="G5" s="897" t="s">
        <v>490</v>
      </c>
      <c r="H5" s="898"/>
      <c r="I5" s="899" t="s">
        <v>491</v>
      </c>
      <c r="J5" s="900"/>
      <c r="K5" s="433" t="s">
        <v>529</v>
      </c>
      <c r="L5" s="551"/>
    </row>
    <row r="6" spans="2:14" ht="22.5" customHeight="1" thickBot="1" x14ac:dyDescent="0.3">
      <c r="B6" s="896"/>
      <c r="C6" s="434" t="s">
        <v>4</v>
      </c>
      <c r="D6" s="435" t="s">
        <v>484</v>
      </c>
      <c r="E6" s="434" t="s">
        <v>4</v>
      </c>
      <c r="F6" s="685" t="s">
        <v>484</v>
      </c>
      <c r="G6" s="434" t="s">
        <v>4</v>
      </c>
      <c r="H6" s="685" t="s">
        <v>484</v>
      </c>
      <c r="I6" s="443" t="s">
        <v>4</v>
      </c>
      <c r="J6" s="685" t="s">
        <v>484</v>
      </c>
      <c r="K6" s="390" t="s">
        <v>4</v>
      </c>
      <c r="L6" s="492"/>
    </row>
    <row r="7" spans="2:14" ht="42" customHeight="1" thickBot="1" x14ac:dyDescent="0.3">
      <c r="B7" s="436" t="s">
        <v>128</v>
      </c>
      <c r="C7" s="49">
        <v>41652</v>
      </c>
      <c r="D7" s="50">
        <v>100</v>
      </c>
      <c r="E7" s="49">
        <v>46971</v>
      </c>
      <c r="F7" s="50">
        <v>100</v>
      </c>
      <c r="G7" s="49">
        <f>SUM(C7,E7)</f>
        <v>88623</v>
      </c>
      <c r="H7" s="50">
        <v>100</v>
      </c>
      <c r="I7" s="181">
        <v>43477</v>
      </c>
      <c r="J7" s="445">
        <v>100</v>
      </c>
      <c r="K7" s="236">
        <f>SUM(I7)-C7</f>
        <v>1825</v>
      </c>
      <c r="L7" s="548"/>
    </row>
    <row r="8" spans="2:14" ht="30.75" customHeight="1" thickBot="1" x14ac:dyDescent="0.3">
      <c r="B8" s="451" t="s">
        <v>129</v>
      </c>
      <c r="C8" s="452"/>
      <c r="D8" s="452"/>
      <c r="E8" s="452"/>
      <c r="F8" s="452"/>
      <c r="G8" s="452"/>
      <c r="H8" s="452"/>
      <c r="I8" s="452"/>
      <c r="J8" s="452"/>
      <c r="K8" s="453"/>
      <c r="L8" s="549"/>
    </row>
    <row r="9" spans="2:14" ht="24" customHeight="1" x14ac:dyDescent="0.25">
      <c r="B9" s="437" t="s">
        <v>81</v>
      </c>
      <c r="C9" s="42">
        <v>7840</v>
      </c>
      <c r="D9" s="43">
        <f>SUM(C9)/C7*100</f>
        <v>18.822625564198596</v>
      </c>
      <c r="E9" s="42">
        <v>9953</v>
      </c>
      <c r="F9" s="43">
        <f>SUM(E9)/E7*100</f>
        <v>21.189670222051905</v>
      </c>
      <c r="G9" s="42">
        <f>SUM(C9,E9)</f>
        <v>17793</v>
      </c>
      <c r="H9" s="43">
        <f>SUM(G9)/G7*100</f>
        <v>20.07718086726922</v>
      </c>
      <c r="I9" s="123">
        <v>8622</v>
      </c>
      <c r="J9" s="446">
        <f>SUM(I9)/I7*100</f>
        <v>19.831175104078021</v>
      </c>
      <c r="K9" s="44">
        <f>SUM(I9)-C9</f>
        <v>782</v>
      </c>
      <c r="L9" s="493"/>
      <c r="M9" s="379">
        <f>SUM(K9/C9*100)</f>
        <v>9.9744897959183678</v>
      </c>
      <c r="N9" s="502">
        <f>SUM(G9:G10)</f>
        <v>88623</v>
      </c>
    </row>
    <row r="10" spans="2:14" ht="24" customHeight="1" thickBot="1" x14ac:dyDescent="0.3">
      <c r="B10" s="438" t="s">
        <v>82</v>
      </c>
      <c r="C10" s="20">
        <v>33812</v>
      </c>
      <c r="D10" s="32">
        <f>SUM(C10)/C7*100</f>
        <v>81.177374435801397</v>
      </c>
      <c r="E10" s="20">
        <v>37018</v>
      </c>
      <c r="F10" s="32">
        <f>SUM(E10)/E7*100</f>
        <v>78.810329777948098</v>
      </c>
      <c r="G10" s="20">
        <f>SUM(C10,E10)</f>
        <v>70830</v>
      </c>
      <c r="H10" s="32">
        <f>SUM(G10)/G7*100</f>
        <v>79.92281913273078</v>
      </c>
      <c r="I10" s="95">
        <v>34855</v>
      </c>
      <c r="J10" s="447">
        <f>SUM(I10)/I7*100</f>
        <v>80.168824895921986</v>
      </c>
      <c r="K10" s="41">
        <f>SUM(I10)-C10</f>
        <v>1043</v>
      </c>
      <c r="L10" s="493"/>
      <c r="M10" s="379">
        <f>SUM(K10/C10*100)</f>
        <v>3.0847036555069209</v>
      </c>
      <c r="N10" s="502">
        <f>SUM(K9:K10)</f>
        <v>1825</v>
      </c>
    </row>
    <row r="11" spans="2:14" ht="21.75" customHeight="1" thickBot="1" x14ac:dyDescent="0.3">
      <c r="B11" s="504" t="s">
        <v>130</v>
      </c>
      <c r="C11" s="505"/>
      <c r="D11" s="505"/>
      <c r="E11" s="505"/>
      <c r="F11" s="505"/>
      <c r="G11" s="505"/>
      <c r="H11" s="505"/>
      <c r="I11" s="505"/>
      <c r="J11" s="505"/>
      <c r="K11" s="506"/>
      <c r="L11" s="550"/>
      <c r="M11" s="156"/>
      <c r="N11" s="156"/>
    </row>
    <row r="12" spans="2:14" ht="28.5" customHeight="1" x14ac:dyDescent="0.25">
      <c r="B12" s="439" t="s">
        <v>83</v>
      </c>
      <c r="C12" s="45">
        <v>36</v>
      </c>
      <c r="D12" s="46">
        <f>SUM(C12)/C7*100</f>
        <v>8.6430423509075191E-2</v>
      </c>
      <c r="E12" s="45">
        <v>60</v>
      </c>
      <c r="F12" s="46">
        <f>SUM(E12)/E7*100</f>
        <v>0.12773839177364757</v>
      </c>
      <c r="G12" s="45">
        <f t="shared" ref="G12:G17" si="0">SUM(C12,E12)</f>
        <v>96</v>
      </c>
      <c r="H12" s="46">
        <f>SUM(G12)/G7*100</f>
        <v>0.10832402423750043</v>
      </c>
      <c r="I12" s="444">
        <v>54</v>
      </c>
      <c r="J12" s="448">
        <f>SUM(I12)/I7*100</f>
        <v>0.12420360190445523</v>
      </c>
      <c r="K12" s="47">
        <f>SUM(I12)-C12</f>
        <v>18</v>
      </c>
      <c r="L12" s="493"/>
      <c r="M12" s="502">
        <f>SUM(I12:I17)</f>
        <v>4099</v>
      </c>
      <c r="N12" s="502">
        <f>SUM(C12:C17)</f>
        <v>3707</v>
      </c>
    </row>
    <row r="13" spans="2:14" ht="26.25" customHeight="1" x14ac:dyDescent="0.25">
      <c r="B13" s="440" t="s">
        <v>84</v>
      </c>
      <c r="C13" s="13">
        <v>239</v>
      </c>
      <c r="D13" s="31">
        <f>SUM(C13)/C7*100</f>
        <v>0.57380197829636037</v>
      </c>
      <c r="E13" s="13">
        <v>257</v>
      </c>
      <c r="F13" s="31">
        <f>SUM(E13)/E7*100</f>
        <v>0.5471461114304571</v>
      </c>
      <c r="G13" s="13">
        <f t="shared" si="0"/>
        <v>496</v>
      </c>
      <c r="H13" s="31">
        <f>SUM(G13)/G7*100</f>
        <v>0.55967412522708548</v>
      </c>
      <c r="I13" s="94">
        <v>207</v>
      </c>
      <c r="J13" s="449">
        <f>SUM(I13)/I7*100</f>
        <v>0.47611380730041175</v>
      </c>
      <c r="K13" s="38">
        <f>SUM(I13)-C13</f>
        <v>-32</v>
      </c>
      <c r="L13" s="493"/>
      <c r="M13" s="379">
        <f>SUM(M12/I7)*100</f>
        <v>9.4279734112289244</v>
      </c>
      <c r="N13" s="379">
        <f>SUM(N12/C7)*100</f>
        <v>8.8999327763372698</v>
      </c>
    </row>
    <row r="14" spans="2:14" ht="27.75" customHeight="1" x14ac:dyDescent="0.25">
      <c r="B14" s="441" t="s">
        <v>85</v>
      </c>
      <c r="C14" s="36">
        <v>3008</v>
      </c>
      <c r="D14" s="37">
        <f>SUM(C14)/C7*100</f>
        <v>7.2217420532027274</v>
      </c>
      <c r="E14" s="36">
        <v>3755</v>
      </c>
      <c r="F14" s="37">
        <f>SUM(E14)/E7*100</f>
        <v>7.9942943518341112</v>
      </c>
      <c r="G14" s="36">
        <f t="shared" si="0"/>
        <v>6763</v>
      </c>
      <c r="H14" s="37">
        <f>SUM(G14)/G7*100</f>
        <v>7.6312018324814099</v>
      </c>
      <c r="I14" s="114">
        <v>3020</v>
      </c>
      <c r="J14" s="450">
        <f>SUM(I14)/I7*100</f>
        <v>6.9462014398417553</v>
      </c>
      <c r="K14" s="40">
        <f t="shared" ref="K14:K17" si="1">SUM(I14)-C14</f>
        <v>12</v>
      </c>
      <c r="L14" s="493"/>
      <c r="M14" s="511">
        <f>SUM(J12:J17)</f>
        <v>9.4279734112289244</v>
      </c>
      <c r="N14" s="511">
        <f>SUM(D12:D17)</f>
        <v>8.8999327763372698</v>
      </c>
    </row>
    <row r="15" spans="2:14" ht="30" x14ac:dyDescent="0.25">
      <c r="B15" s="440" t="s">
        <v>94</v>
      </c>
      <c r="C15" s="13">
        <v>0</v>
      </c>
      <c r="D15" s="472">
        <f>SUM(C15)/C7*100</f>
        <v>0</v>
      </c>
      <c r="E15" s="13">
        <v>0</v>
      </c>
      <c r="F15" s="472">
        <f>SUM(E15)/E7*100</f>
        <v>0</v>
      </c>
      <c r="G15" s="13">
        <f t="shared" si="0"/>
        <v>0</v>
      </c>
      <c r="H15" s="472">
        <f>SUM(G15)/G7*100</f>
        <v>0</v>
      </c>
      <c r="I15" s="94">
        <v>0</v>
      </c>
      <c r="J15" s="449">
        <f>SUM(I15)/I7*100</f>
        <v>0</v>
      </c>
      <c r="K15" s="38">
        <f t="shared" si="1"/>
        <v>0</v>
      </c>
      <c r="L15" s="493"/>
    </row>
    <row r="16" spans="2:14" ht="31.5" customHeight="1" x14ac:dyDescent="0.25">
      <c r="B16" s="440" t="s">
        <v>86</v>
      </c>
      <c r="C16" s="13">
        <v>296</v>
      </c>
      <c r="D16" s="31">
        <f>SUM(C16)/C7*100</f>
        <v>0.71065014885239608</v>
      </c>
      <c r="E16" s="13">
        <v>552</v>
      </c>
      <c r="F16" s="31">
        <f>SUM(E16)/E7*100</f>
        <v>1.1751932043175575</v>
      </c>
      <c r="G16" s="13">
        <f t="shared" si="0"/>
        <v>848</v>
      </c>
      <c r="H16" s="31">
        <f>SUM(G16)/G7*100</f>
        <v>0.95686221409792049</v>
      </c>
      <c r="I16" s="94">
        <v>701</v>
      </c>
      <c r="J16" s="449">
        <f>SUM(I16)/I7*100</f>
        <v>1.6123467580559836</v>
      </c>
      <c r="K16" s="38">
        <f t="shared" si="1"/>
        <v>405</v>
      </c>
      <c r="L16" s="493"/>
    </row>
    <row r="17" spans="2:12" ht="30.75" thickBot="1" x14ac:dyDescent="0.3">
      <c r="B17" s="442" t="s">
        <v>131</v>
      </c>
      <c r="C17" s="20">
        <v>128</v>
      </c>
      <c r="D17" s="32">
        <f>SUM(C17)/C7*100</f>
        <v>0.30730817247671177</v>
      </c>
      <c r="E17" s="20">
        <v>408</v>
      </c>
      <c r="F17" s="32">
        <f>SUM(E17)/E7*100</f>
        <v>0.86862106406080353</v>
      </c>
      <c r="G17" s="20">
        <f t="shared" si="0"/>
        <v>536</v>
      </c>
      <c r="H17" s="32">
        <f>SUM(G17)/G7*100</f>
        <v>0.60480913532604408</v>
      </c>
      <c r="I17" s="95">
        <v>117</v>
      </c>
      <c r="J17" s="447">
        <f>SUM(I17)/I7*100</f>
        <v>0.26910780412631968</v>
      </c>
      <c r="K17" s="41">
        <f t="shared" si="1"/>
        <v>-11</v>
      </c>
      <c r="L17" s="493"/>
    </row>
    <row r="19" spans="2:12" x14ac:dyDescent="0.25">
      <c r="C19" s="502">
        <f>SUM(C9:C10)</f>
        <v>41652</v>
      </c>
      <c r="E19" s="502">
        <f>SUM(E9:E10)</f>
        <v>46971</v>
      </c>
    </row>
    <row r="20" spans="2:12" x14ac:dyDescent="0.25">
      <c r="C20" s="54"/>
      <c r="E20" s="54"/>
      <c r="F20" s="377"/>
      <c r="G20" s="377"/>
      <c r="H20" s="377"/>
      <c r="I20" s="377"/>
      <c r="J20" s="377"/>
    </row>
    <row r="21" spans="2:12" x14ac:dyDescent="0.25">
      <c r="D21" s="54"/>
    </row>
    <row r="22" spans="2:12" x14ac:dyDescent="0.25">
      <c r="E22" s="54"/>
      <c r="F22" s="377"/>
      <c r="G22" s="377"/>
      <c r="H22" s="377"/>
      <c r="I22" s="377"/>
      <c r="J22" s="377"/>
    </row>
  </sheetData>
  <mergeCells count="5">
    <mergeCell ref="B5:B6"/>
    <mergeCell ref="E5:F5"/>
    <mergeCell ref="C5:D5"/>
    <mergeCell ref="I5:J5"/>
    <mergeCell ref="G5:H5"/>
  </mergeCells>
  <printOptions horizontalCentered="1"/>
  <pageMargins left="0" right="0" top="1.3779527559055118" bottom="0" header="0.31496062992125984" footer="0.31496062992125984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1:H35"/>
  <sheetViews>
    <sheetView workbookViewId="0">
      <selection activeCell="B1" sqref="B1"/>
    </sheetView>
  </sheetViews>
  <sheetFormatPr defaultColWidth="9.140625" defaultRowHeight="15" x14ac:dyDescent="0.25"/>
  <cols>
    <col min="1" max="1" width="2.28515625" style="2" customWidth="1"/>
    <col min="2" max="2" width="21.140625" style="2" customWidth="1"/>
    <col min="3" max="3" width="11.5703125" style="2" customWidth="1"/>
    <col min="4" max="4" width="11.85546875" style="2" customWidth="1"/>
    <col min="5" max="5" width="12.42578125" style="2" customWidth="1"/>
    <col min="6" max="6" width="12" style="2" customWidth="1"/>
    <col min="7" max="7" width="10.85546875" style="2" customWidth="1"/>
    <col min="8" max="8" width="11.85546875" style="2" customWidth="1"/>
    <col min="9" max="9" width="13.140625" style="2" customWidth="1"/>
    <col min="10" max="10" width="9.140625" style="2" customWidth="1"/>
    <col min="11" max="11" width="10.28515625" style="2" customWidth="1"/>
    <col min="12" max="16384" width="9.140625" style="2"/>
  </cols>
  <sheetData>
    <row r="1" spans="2:8" ht="11.25" customHeight="1" x14ac:dyDescent="0.3"/>
    <row r="2" spans="2:8" x14ac:dyDescent="0.25">
      <c r="B2" s="11" t="s">
        <v>272</v>
      </c>
      <c r="C2" s="11"/>
      <c r="D2" s="11"/>
      <c r="E2" s="11"/>
      <c r="F2" s="11"/>
      <c r="G2" s="11"/>
      <c r="H2" s="11"/>
    </row>
    <row r="3" spans="2:8" x14ac:dyDescent="0.25">
      <c r="B3" s="11" t="s">
        <v>369</v>
      </c>
      <c r="C3" s="11"/>
      <c r="D3" s="11"/>
      <c r="E3" s="11"/>
      <c r="F3" s="11"/>
      <c r="G3" s="11"/>
      <c r="H3" s="11"/>
    </row>
    <row r="4" spans="2:8" ht="6" customHeight="1" thickBot="1" x14ac:dyDescent="0.35">
      <c r="B4" s="11"/>
      <c r="C4" s="11"/>
      <c r="D4" s="11"/>
      <c r="E4" s="11"/>
      <c r="F4" s="11"/>
      <c r="G4" s="11"/>
      <c r="H4" s="11"/>
    </row>
    <row r="5" spans="2:8" ht="15.75" thickBot="1" x14ac:dyDescent="0.3">
      <c r="B5" s="901" t="s">
        <v>122</v>
      </c>
      <c r="C5" s="890" t="s">
        <v>132</v>
      </c>
      <c r="D5" s="891"/>
      <c r="E5" s="891"/>
      <c r="F5" s="891"/>
      <c r="G5" s="891"/>
      <c r="H5" s="892"/>
    </row>
    <row r="6" spans="2:8" ht="31.5" customHeight="1" x14ac:dyDescent="0.25">
      <c r="B6" s="902"/>
      <c r="C6" s="906" t="s">
        <v>413</v>
      </c>
      <c r="D6" s="904" t="s">
        <v>492</v>
      </c>
      <c r="E6" s="914" t="s">
        <v>490</v>
      </c>
      <c r="F6" s="901" t="s">
        <v>493</v>
      </c>
      <c r="G6" s="908" t="s">
        <v>494</v>
      </c>
      <c r="H6" s="909"/>
    </row>
    <row r="7" spans="2:8" ht="35.25" customHeight="1" x14ac:dyDescent="0.25">
      <c r="B7" s="902"/>
      <c r="C7" s="907"/>
      <c r="D7" s="905"/>
      <c r="E7" s="915"/>
      <c r="F7" s="902"/>
      <c r="G7" s="910" t="s">
        <v>119</v>
      </c>
      <c r="H7" s="912" t="s">
        <v>484</v>
      </c>
    </row>
    <row r="8" spans="2:8" ht="10.5" customHeight="1" thickBot="1" x14ac:dyDescent="0.3">
      <c r="B8" s="903"/>
      <c r="C8" s="907"/>
      <c r="D8" s="905"/>
      <c r="E8" s="915"/>
      <c r="F8" s="903"/>
      <c r="G8" s="911"/>
      <c r="H8" s="913"/>
    </row>
    <row r="9" spans="2:8" ht="21" customHeight="1" thickBot="1" x14ac:dyDescent="0.3">
      <c r="B9" s="178" t="s">
        <v>22</v>
      </c>
      <c r="C9" s="85">
        <f>SUM(C10:C34)</f>
        <v>41652</v>
      </c>
      <c r="D9" s="305">
        <f>SUM(D10:D34)</f>
        <v>46971</v>
      </c>
      <c r="E9" s="628">
        <f>SUM(C9:D9)</f>
        <v>88623</v>
      </c>
      <c r="F9" s="629">
        <f>SUM(F10:F34)</f>
        <v>43477</v>
      </c>
      <c r="G9" s="630">
        <f>SUM(F9)-C9</f>
        <v>1825</v>
      </c>
      <c r="H9" s="306">
        <f t="shared" ref="H9:H34" si="0">SUM(G9)/C9*100</f>
        <v>4.3815423028906171</v>
      </c>
    </row>
    <row r="10" spans="2:8" ht="18" customHeight="1" x14ac:dyDescent="0.25">
      <c r="B10" s="201" t="s">
        <v>23</v>
      </c>
      <c r="C10" s="205">
        <v>557</v>
      </c>
      <c r="D10" s="206">
        <v>669</v>
      </c>
      <c r="E10" s="625">
        <f t="shared" ref="E10:E34" si="1">SUM(C10:D10)</f>
        <v>1226</v>
      </c>
      <c r="F10" s="626">
        <v>616</v>
      </c>
      <c r="G10" s="627">
        <f t="shared" ref="G10:G34" si="2">SUM(F10)-C10</f>
        <v>59</v>
      </c>
      <c r="H10" s="60">
        <f t="shared" si="0"/>
        <v>10.59245960502693</v>
      </c>
    </row>
    <row r="11" spans="2:8" ht="15.75" customHeight="1" x14ac:dyDescent="0.25">
      <c r="B11" s="202" t="s">
        <v>24</v>
      </c>
      <c r="C11" s="56">
        <v>1691</v>
      </c>
      <c r="D11" s="9">
        <v>2059</v>
      </c>
      <c r="E11" s="454">
        <f t="shared" si="1"/>
        <v>3750</v>
      </c>
      <c r="F11" s="459">
        <v>1678</v>
      </c>
      <c r="G11" s="6">
        <f t="shared" si="2"/>
        <v>-13</v>
      </c>
      <c r="H11" s="7">
        <f t="shared" si="0"/>
        <v>-0.76877587226493205</v>
      </c>
    </row>
    <row r="12" spans="2:8" x14ac:dyDescent="0.25">
      <c r="B12" s="202" t="s">
        <v>25</v>
      </c>
      <c r="C12" s="56">
        <v>1968</v>
      </c>
      <c r="D12" s="9">
        <v>2219</v>
      </c>
      <c r="E12" s="454">
        <f t="shared" si="1"/>
        <v>4187</v>
      </c>
      <c r="F12" s="459">
        <v>2127</v>
      </c>
      <c r="G12" s="6">
        <f t="shared" si="2"/>
        <v>159</v>
      </c>
      <c r="H12" s="7">
        <f t="shared" si="0"/>
        <v>8.0792682926829276</v>
      </c>
    </row>
    <row r="13" spans="2:8" x14ac:dyDescent="0.25">
      <c r="B13" s="202" t="s">
        <v>26</v>
      </c>
      <c r="C13" s="56">
        <v>2761</v>
      </c>
      <c r="D13" s="9">
        <v>2999</v>
      </c>
      <c r="E13" s="454">
        <f t="shared" si="1"/>
        <v>5760</v>
      </c>
      <c r="F13" s="459">
        <v>2889</v>
      </c>
      <c r="G13" s="6">
        <f t="shared" si="2"/>
        <v>128</v>
      </c>
      <c r="H13" s="7">
        <f t="shared" si="0"/>
        <v>4.6360014487504531</v>
      </c>
    </row>
    <row r="14" spans="2:8" x14ac:dyDescent="0.25">
      <c r="B14" s="202" t="s">
        <v>27</v>
      </c>
      <c r="C14" s="56">
        <v>2222</v>
      </c>
      <c r="D14" s="9">
        <v>2528</v>
      </c>
      <c r="E14" s="454">
        <f t="shared" si="1"/>
        <v>4750</v>
      </c>
      <c r="F14" s="459">
        <v>2669</v>
      </c>
      <c r="G14" s="6">
        <f t="shared" si="2"/>
        <v>447</v>
      </c>
      <c r="H14" s="7">
        <f t="shared" si="0"/>
        <v>20.117011701170117</v>
      </c>
    </row>
    <row r="15" spans="2:8" x14ac:dyDescent="0.25">
      <c r="B15" s="202" t="s">
        <v>28</v>
      </c>
      <c r="C15" s="56">
        <v>1311</v>
      </c>
      <c r="D15" s="9">
        <v>1362</v>
      </c>
      <c r="E15" s="454">
        <f t="shared" si="1"/>
        <v>2673</v>
      </c>
      <c r="F15" s="459">
        <v>1210</v>
      </c>
      <c r="G15" s="6">
        <f t="shared" si="2"/>
        <v>-101</v>
      </c>
      <c r="H15" s="7">
        <f t="shared" si="0"/>
        <v>-7.7040427154843636</v>
      </c>
    </row>
    <row r="16" spans="2:8" x14ac:dyDescent="0.25">
      <c r="B16" s="202" t="s">
        <v>29</v>
      </c>
      <c r="C16" s="56">
        <v>1639</v>
      </c>
      <c r="D16" s="9">
        <v>1676</v>
      </c>
      <c r="E16" s="454">
        <f t="shared" si="1"/>
        <v>3315</v>
      </c>
      <c r="F16" s="459">
        <v>1539</v>
      </c>
      <c r="G16" s="6">
        <f t="shared" si="2"/>
        <v>-100</v>
      </c>
      <c r="H16" s="7">
        <f t="shared" si="0"/>
        <v>-6.1012812690665035</v>
      </c>
    </row>
    <row r="17" spans="2:8" x14ac:dyDescent="0.25">
      <c r="B17" s="202" t="s">
        <v>30</v>
      </c>
      <c r="C17" s="56">
        <v>697</v>
      </c>
      <c r="D17" s="9">
        <v>956</v>
      </c>
      <c r="E17" s="454">
        <f t="shared" si="1"/>
        <v>1653</v>
      </c>
      <c r="F17" s="459">
        <v>785</v>
      </c>
      <c r="G17" s="6">
        <f t="shared" si="2"/>
        <v>88</v>
      </c>
      <c r="H17" s="7">
        <f t="shared" si="0"/>
        <v>12.625538020086083</v>
      </c>
    </row>
    <row r="18" spans="2:8" x14ac:dyDescent="0.25">
      <c r="B18" s="202" t="s">
        <v>31</v>
      </c>
      <c r="C18" s="56">
        <v>1950</v>
      </c>
      <c r="D18" s="9">
        <v>2063</v>
      </c>
      <c r="E18" s="454">
        <f t="shared" si="1"/>
        <v>4013</v>
      </c>
      <c r="F18" s="459">
        <v>1923</v>
      </c>
      <c r="G18" s="6">
        <f t="shared" si="2"/>
        <v>-27</v>
      </c>
      <c r="H18" s="7">
        <f t="shared" si="0"/>
        <v>-1.3846153846153846</v>
      </c>
    </row>
    <row r="19" spans="2:8" x14ac:dyDescent="0.25">
      <c r="B19" s="202" t="s">
        <v>32</v>
      </c>
      <c r="C19" s="56">
        <v>1137</v>
      </c>
      <c r="D19" s="9">
        <v>1450</v>
      </c>
      <c r="E19" s="454">
        <f t="shared" si="1"/>
        <v>2587</v>
      </c>
      <c r="F19" s="459">
        <v>1160</v>
      </c>
      <c r="G19" s="6">
        <f t="shared" si="2"/>
        <v>23</v>
      </c>
      <c r="H19" s="7">
        <f t="shared" si="0"/>
        <v>2.0228671943711523</v>
      </c>
    </row>
    <row r="20" spans="2:8" x14ac:dyDescent="0.25">
      <c r="B20" s="202" t="s">
        <v>33</v>
      </c>
      <c r="C20" s="56">
        <v>1654</v>
      </c>
      <c r="D20" s="9">
        <v>2003</v>
      </c>
      <c r="E20" s="454">
        <f t="shared" si="1"/>
        <v>3657</v>
      </c>
      <c r="F20" s="459">
        <v>1916</v>
      </c>
      <c r="G20" s="6">
        <f t="shared" si="2"/>
        <v>262</v>
      </c>
      <c r="H20" s="7">
        <f t="shared" si="0"/>
        <v>15.840386940749699</v>
      </c>
    </row>
    <row r="21" spans="2:8" x14ac:dyDescent="0.25">
      <c r="B21" s="202" t="s">
        <v>34</v>
      </c>
      <c r="C21" s="56">
        <v>2692</v>
      </c>
      <c r="D21" s="9">
        <v>2785</v>
      </c>
      <c r="E21" s="454">
        <f t="shared" si="1"/>
        <v>5477</v>
      </c>
      <c r="F21" s="459">
        <v>2698</v>
      </c>
      <c r="G21" s="6">
        <f t="shared" si="2"/>
        <v>6</v>
      </c>
      <c r="H21" s="7">
        <f t="shared" si="0"/>
        <v>0.22288261515601782</v>
      </c>
    </row>
    <row r="22" spans="2:8" x14ac:dyDescent="0.25">
      <c r="B22" s="202" t="s">
        <v>35</v>
      </c>
      <c r="C22" s="56">
        <v>1597</v>
      </c>
      <c r="D22" s="9">
        <v>1829</v>
      </c>
      <c r="E22" s="454">
        <f t="shared" si="1"/>
        <v>3426</v>
      </c>
      <c r="F22" s="459">
        <v>1847</v>
      </c>
      <c r="G22" s="6">
        <f t="shared" si="2"/>
        <v>250</v>
      </c>
      <c r="H22" s="7">
        <f t="shared" si="0"/>
        <v>15.654351909830932</v>
      </c>
    </row>
    <row r="23" spans="2:8" x14ac:dyDescent="0.25">
      <c r="B23" s="203" t="s">
        <v>36</v>
      </c>
      <c r="C23" s="57">
        <v>1505</v>
      </c>
      <c r="D23" s="455">
        <v>1942</v>
      </c>
      <c r="E23" s="456">
        <f t="shared" si="1"/>
        <v>3447</v>
      </c>
      <c r="F23" s="460">
        <v>1510</v>
      </c>
      <c r="G23" s="6">
        <f t="shared" si="2"/>
        <v>5</v>
      </c>
      <c r="H23" s="7">
        <f t="shared" si="0"/>
        <v>0.33222591362126247</v>
      </c>
    </row>
    <row r="24" spans="2:8" x14ac:dyDescent="0.25">
      <c r="B24" s="203" t="s">
        <v>37</v>
      </c>
      <c r="C24" s="57">
        <v>2135</v>
      </c>
      <c r="D24" s="455">
        <v>2445</v>
      </c>
      <c r="E24" s="456">
        <f t="shared" si="1"/>
        <v>4580</v>
      </c>
      <c r="F24" s="460">
        <v>2206</v>
      </c>
      <c r="G24" s="6">
        <f t="shared" si="2"/>
        <v>71</v>
      </c>
      <c r="H24" s="7">
        <f t="shared" si="0"/>
        <v>3.3255269320843093</v>
      </c>
    </row>
    <row r="25" spans="2:8" x14ac:dyDescent="0.25">
      <c r="B25" s="203" t="s">
        <v>38</v>
      </c>
      <c r="C25" s="57">
        <v>1876</v>
      </c>
      <c r="D25" s="455">
        <v>2059</v>
      </c>
      <c r="E25" s="456">
        <f t="shared" si="1"/>
        <v>3935</v>
      </c>
      <c r="F25" s="460">
        <v>1788</v>
      </c>
      <c r="G25" s="6">
        <f t="shared" si="2"/>
        <v>-88</v>
      </c>
      <c r="H25" s="7">
        <f t="shared" si="0"/>
        <v>-4.6908315565031984</v>
      </c>
    </row>
    <row r="26" spans="2:8" x14ac:dyDescent="0.25">
      <c r="B26" s="203" t="s">
        <v>39</v>
      </c>
      <c r="C26" s="57">
        <v>2563</v>
      </c>
      <c r="D26" s="455">
        <v>2891</v>
      </c>
      <c r="E26" s="456">
        <f t="shared" si="1"/>
        <v>5454</v>
      </c>
      <c r="F26" s="460">
        <v>2525</v>
      </c>
      <c r="G26" s="6">
        <f t="shared" si="2"/>
        <v>-38</v>
      </c>
      <c r="H26" s="7">
        <f t="shared" si="0"/>
        <v>-1.48263753413968</v>
      </c>
    </row>
    <row r="27" spans="2:8" x14ac:dyDescent="0.25">
      <c r="B27" s="203" t="s">
        <v>40</v>
      </c>
      <c r="C27" s="57">
        <v>1470</v>
      </c>
      <c r="D27" s="455">
        <v>1842</v>
      </c>
      <c r="E27" s="456">
        <f t="shared" si="1"/>
        <v>3312</v>
      </c>
      <c r="F27" s="460">
        <v>1664</v>
      </c>
      <c r="G27" s="6">
        <f t="shared" si="2"/>
        <v>194</v>
      </c>
      <c r="H27" s="7">
        <f t="shared" si="0"/>
        <v>13.197278911564625</v>
      </c>
    </row>
    <row r="28" spans="2:8" x14ac:dyDescent="0.25">
      <c r="B28" s="203" t="s">
        <v>41</v>
      </c>
      <c r="C28" s="57">
        <v>1828</v>
      </c>
      <c r="D28" s="455">
        <v>2101</v>
      </c>
      <c r="E28" s="456">
        <f t="shared" si="1"/>
        <v>3929</v>
      </c>
      <c r="F28" s="460">
        <v>1936</v>
      </c>
      <c r="G28" s="6">
        <f t="shared" si="2"/>
        <v>108</v>
      </c>
      <c r="H28" s="7">
        <f t="shared" si="0"/>
        <v>5.9080962800875279</v>
      </c>
    </row>
    <row r="29" spans="2:8" x14ac:dyDescent="0.25">
      <c r="B29" s="203" t="s">
        <v>42</v>
      </c>
      <c r="C29" s="57">
        <v>1689</v>
      </c>
      <c r="D29" s="455">
        <v>2071</v>
      </c>
      <c r="E29" s="456">
        <f t="shared" si="1"/>
        <v>3760</v>
      </c>
      <c r="F29" s="460">
        <v>1808</v>
      </c>
      <c r="G29" s="6">
        <f t="shared" si="2"/>
        <v>119</v>
      </c>
      <c r="H29" s="7">
        <f t="shared" si="0"/>
        <v>7.0455891059798699</v>
      </c>
    </row>
    <row r="30" spans="2:8" x14ac:dyDescent="0.25">
      <c r="B30" s="203" t="s">
        <v>43</v>
      </c>
      <c r="C30" s="57">
        <v>980</v>
      </c>
      <c r="D30" s="455">
        <v>1027</v>
      </c>
      <c r="E30" s="456">
        <f t="shared" si="1"/>
        <v>2007</v>
      </c>
      <c r="F30" s="460">
        <v>1013</v>
      </c>
      <c r="G30" s="6">
        <f t="shared" si="2"/>
        <v>33</v>
      </c>
      <c r="H30" s="7">
        <f t="shared" si="0"/>
        <v>3.3673469387755102</v>
      </c>
    </row>
    <row r="31" spans="2:8" x14ac:dyDescent="0.25">
      <c r="B31" s="203" t="s">
        <v>44</v>
      </c>
      <c r="C31" s="57">
        <v>619</v>
      </c>
      <c r="D31" s="455">
        <v>659</v>
      </c>
      <c r="E31" s="456">
        <f t="shared" si="1"/>
        <v>1278</v>
      </c>
      <c r="F31" s="460">
        <v>679</v>
      </c>
      <c r="G31" s="6">
        <f t="shared" si="2"/>
        <v>60</v>
      </c>
      <c r="H31" s="7">
        <f t="shared" si="0"/>
        <v>9.6930533117932143</v>
      </c>
    </row>
    <row r="32" spans="2:8" x14ac:dyDescent="0.25">
      <c r="B32" s="203" t="s">
        <v>45</v>
      </c>
      <c r="C32" s="57">
        <v>1176</v>
      </c>
      <c r="D32" s="455">
        <v>1275</v>
      </c>
      <c r="E32" s="456">
        <f t="shared" si="1"/>
        <v>2451</v>
      </c>
      <c r="F32" s="460">
        <v>1264</v>
      </c>
      <c r="G32" s="6">
        <f t="shared" si="2"/>
        <v>88</v>
      </c>
      <c r="H32" s="7">
        <f t="shared" si="0"/>
        <v>7.4829931972789119</v>
      </c>
    </row>
    <row r="33" spans="2:8" x14ac:dyDescent="0.25">
      <c r="B33" s="203" t="s">
        <v>46</v>
      </c>
      <c r="C33" s="57">
        <v>2968</v>
      </c>
      <c r="D33" s="455">
        <v>3151</v>
      </c>
      <c r="E33" s="456">
        <f t="shared" si="1"/>
        <v>6119</v>
      </c>
      <c r="F33" s="460">
        <v>3129</v>
      </c>
      <c r="G33" s="6">
        <f t="shared" si="2"/>
        <v>161</v>
      </c>
      <c r="H33" s="7">
        <f t="shared" si="0"/>
        <v>5.4245283018867925</v>
      </c>
    </row>
    <row r="34" spans="2:8" ht="15.75" thickBot="1" x14ac:dyDescent="0.3">
      <c r="B34" s="204" t="s">
        <v>47</v>
      </c>
      <c r="C34" s="58">
        <v>967</v>
      </c>
      <c r="D34" s="457">
        <v>910</v>
      </c>
      <c r="E34" s="458">
        <f t="shared" si="1"/>
        <v>1877</v>
      </c>
      <c r="F34" s="461">
        <v>898</v>
      </c>
      <c r="G34" s="4">
        <f t="shared" si="2"/>
        <v>-69</v>
      </c>
      <c r="H34" s="8">
        <f t="shared" si="0"/>
        <v>-7.1354705274043431</v>
      </c>
    </row>
    <row r="35" spans="2:8" x14ac:dyDescent="0.25">
      <c r="D35" s="62"/>
      <c r="E35" s="494">
        <f>SUM(E10:E34)</f>
        <v>88623</v>
      </c>
      <c r="F35" s="62"/>
    </row>
  </sheetData>
  <mergeCells count="9">
    <mergeCell ref="B5:B8"/>
    <mergeCell ref="C5:H5"/>
    <mergeCell ref="D6:D8"/>
    <mergeCell ref="C6:C8"/>
    <mergeCell ref="G6:H6"/>
    <mergeCell ref="G7:G8"/>
    <mergeCell ref="H7:H8"/>
    <mergeCell ref="E6:E8"/>
    <mergeCell ref="F6:F8"/>
  </mergeCells>
  <printOptions horizontalCentered="1" verticalCentered="1"/>
  <pageMargins left="3.937007874015748E-2" right="3.937007874015748E-2" top="3.937007874015748E-2" bottom="3.937007874015748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1:I44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60.28515625" style="11" customWidth="1"/>
    <col min="3" max="3" width="10.28515625" style="11" customWidth="1"/>
    <col min="4" max="4" width="9.140625" style="11" customWidth="1"/>
    <col min="5" max="5" width="11" style="11" customWidth="1"/>
    <col min="6" max="6" width="8.7109375" style="11" customWidth="1"/>
    <col min="7" max="7" width="13.5703125" style="11" customWidth="1"/>
    <col min="8" max="8" width="9.140625" style="11"/>
    <col min="9" max="9" width="10.28515625" style="11" customWidth="1"/>
    <col min="10" max="16384" width="9.140625" style="11"/>
  </cols>
  <sheetData>
    <row r="1" spans="2:9" ht="9.75" customHeight="1" x14ac:dyDescent="0.25"/>
    <row r="2" spans="2:9" x14ac:dyDescent="0.25">
      <c r="B2" s="11" t="s">
        <v>271</v>
      </c>
    </row>
    <row r="3" spans="2:9" ht="15.75" thickBot="1" x14ac:dyDescent="0.3">
      <c r="B3" s="11" t="s">
        <v>370</v>
      </c>
    </row>
    <row r="4" spans="2:9" x14ac:dyDescent="0.25">
      <c r="B4" s="879" t="s">
        <v>117</v>
      </c>
      <c r="C4" s="895" t="s">
        <v>414</v>
      </c>
      <c r="D4" s="918"/>
      <c r="E4" s="895" t="s">
        <v>491</v>
      </c>
      <c r="F4" s="918"/>
      <c r="G4" s="879" t="s">
        <v>123</v>
      </c>
    </row>
    <row r="5" spans="2:9" x14ac:dyDescent="0.25">
      <c r="B5" s="916"/>
      <c r="C5" s="919"/>
      <c r="D5" s="920"/>
      <c r="E5" s="919"/>
      <c r="F5" s="920"/>
      <c r="G5" s="921"/>
    </row>
    <row r="6" spans="2:9" ht="43.5" customHeight="1" thickBot="1" x14ac:dyDescent="0.3">
      <c r="B6" s="917"/>
      <c r="C6" s="387" t="s">
        <v>4</v>
      </c>
      <c r="D6" s="384" t="s">
        <v>484</v>
      </c>
      <c r="E6" s="387" t="s">
        <v>4</v>
      </c>
      <c r="F6" s="384" t="s">
        <v>484</v>
      </c>
      <c r="G6" s="390" t="s">
        <v>4</v>
      </c>
    </row>
    <row r="7" spans="2:9" ht="30" customHeight="1" thickBot="1" x14ac:dyDescent="0.3">
      <c r="B7" s="28" t="s">
        <v>133</v>
      </c>
      <c r="C7" s="90">
        <v>48034</v>
      </c>
      <c r="D7" s="91">
        <v>100</v>
      </c>
      <c r="E7" s="90">
        <v>51752</v>
      </c>
      <c r="F7" s="91">
        <v>100</v>
      </c>
      <c r="G7" s="92">
        <f>SUM(E7)-C7</f>
        <v>3718</v>
      </c>
    </row>
    <row r="8" spans="2:9" ht="30.75" customHeight="1" thickBot="1" x14ac:dyDescent="0.3">
      <c r="B8" s="48" t="s">
        <v>134</v>
      </c>
      <c r="C8" s="49">
        <f>SUM(C9)+C26</f>
        <v>43073</v>
      </c>
      <c r="D8" s="328">
        <f>SUM(C8)/C7*100</f>
        <v>89.671899071491026</v>
      </c>
      <c r="E8" s="49">
        <f>SUM(E9)+E26</f>
        <v>45848</v>
      </c>
      <c r="F8" s="328">
        <f>SUM(E8)/E7*100</f>
        <v>88.591745246560521</v>
      </c>
      <c r="G8" s="236">
        <f>SUM(E8)-C8</f>
        <v>2775</v>
      </c>
    </row>
    <row r="9" spans="2:9" ht="22.5" customHeight="1" x14ac:dyDescent="0.25">
      <c r="B9" s="407" t="s">
        <v>135</v>
      </c>
      <c r="C9" s="408">
        <v>30852</v>
      </c>
      <c r="D9" s="409">
        <f>SUM(C9)/C7*100</f>
        <v>64.229504101261597</v>
      </c>
      <c r="E9" s="408">
        <v>29541</v>
      </c>
      <c r="F9" s="409">
        <f>SUM(E9)/E7*100</f>
        <v>57.081851909104962</v>
      </c>
      <c r="G9" s="410">
        <f>SUM(E9)-C9</f>
        <v>-1311</v>
      </c>
    </row>
    <row r="10" spans="2:9" ht="17.25" customHeight="1" x14ac:dyDescent="0.25">
      <c r="B10" s="63" t="s">
        <v>1</v>
      </c>
      <c r="C10" s="64"/>
      <c r="D10" s="65"/>
      <c r="E10" s="64"/>
      <c r="F10" s="65"/>
      <c r="G10" s="86"/>
    </row>
    <row r="11" spans="2:9" ht="24" customHeight="1" x14ac:dyDescent="0.25">
      <c r="B11" s="411" t="s">
        <v>136</v>
      </c>
      <c r="C11" s="393">
        <v>25180</v>
      </c>
      <c r="D11" s="394">
        <f>SUM(C11)/C7*100</f>
        <v>52.421201648832074</v>
      </c>
      <c r="E11" s="393">
        <v>23146</v>
      </c>
      <c r="F11" s="394">
        <f>SUM(E11)/E7*100</f>
        <v>44.724841552017317</v>
      </c>
      <c r="G11" s="395">
        <f>SUM(E11)-C11</f>
        <v>-2034</v>
      </c>
      <c r="H11" s="54"/>
      <c r="I11" s="54"/>
    </row>
    <row r="12" spans="2:9" ht="22.5" customHeight="1" thickBot="1" x14ac:dyDescent="0.3">
      <c r="B12" s="412" t="s">
        <v>137</v>
      </c>
      <c r="C12" s="413">
        <v>5672</v>
      </c>
      <c r="D12" s="414">
        <f>SUM(C12)/C7*100</f>
        <v>11.80830245242953</v>
      </c>
      <c r="E12" s="413">
        <v>6395</v>
      </c>
      <c r="F12" s="414">
        <f>SUM(E12)/E7*100</f>
        <v>12.357010357087649</v>
      </c>
      <c r="G12" s="415">
        <f>SUM(E12)-C12</f>
        <v>723</v>
      </c>
      <c r="H12" s="379"/>
      <c r="I12" s="54"/>
    </row>
    <row r="13" spans="2:9" ht="26.25" customHeight="1" thickTop="1" x14ac:dyDescent="0.25">
      <c r="B13" s="416" t="s">
        <v>138</v>
      </c>
      <c r="C13" s="417"/>
      <c r="D13" s="418"/>
      <c r="E13" s="417"/>
      <c r="F13" s="418"/>
      <c r="G13" s="419"/>
      <c r="I13" s="379"/>
    </row>
    <row r="14" spans="2:9" ht="26.25" customHeight="1" x14ac:dyDescent="0.25">
      <c r="B14" s="79" t="s">
        <v>139</v>
      </c>
      <c r="C14" s="36">
        <v>1999</v>
      </c>
      <c r="D14" s="74">
        <f>SUM(C14)/C7*100</f>
        <v>4.1616355081817051</v>
      </c>
      <c r="E14" s="36">
        <v>2178</v>
      </c>
      <c r="F14" s="74">
        <f>SUM(E14)/E7*100</f>
        <v>4.2085330035554183</v>
      </c>
      <c r="G14" s="40">
        <f t="shared" ref="G14:G44" si="0">SUM(E14)-C14</f>
        <v>179</v>
      </c>
    </row>
    <row r="15" spans="2:9" ht="26.25" customHeight="1" x14ac:dyDescent="0.25">
      <c r="B15" s="66" t="s">
        <v>140</v>
      </c>
      <c r="C15" s="13">
        <v>1149</v>
      </c>
      <c r="D15" s="67">
        <f>SUM(C15)/C7*100</f>
        <v>2.3920556272640212</v>
      </c>
      <c r="E15" s="13">
        <v>1371</v>
      </c>
      <c r="F15" s="67">
        <f>SUM(E15)/E7*100</f>
        <v>2.6491729788220746</v>
      </c>
      <c r="G15" s="38">
        <f t="shared" si="0"/>
        <v>222</v>
      </c>
    </row>
    <row r="16" spans="2:9" ht="28.5" customHeight="1" x14ac:dyDescent="0.25">
      <c r="B16" s="66" t="s">
        <v>141</v>
      </c>
      <c r="C16" s="13">
        <v>1041</v>
      </c>
      <c r="D16" s="67">
        <f>SUM(C16)/C7*100</f>
        <v>2.1672148894533039</v>
      </c>
      <c r="E16" s="13">
        <v>1066</v>
      </c>
      <c r="F16" s="67">
        <f>SUM(E16)/E7*100</f>
        <v>2.0598237749265729</v>
      </c>
      <c r="G16" s="38">
        <f t="shared" si="0"/>
        <v>25</v>
      </c>
    </row>
    <row r="17" spans="2:7" ht="27" customHeight="1" x14ac:dyDescent="0.25">
      <c r="B17" s="420" t="s">
        <v>142</v>
      </c>
      <c r="C17" s="13">
        <v>18</v>
      </c>
      <c r="D17" s="67">
        <f>SUM(C17)/C7*100</f>
        <v>3.7473456301786237E-2</v>
      </c>
      <c r="E17" s="68">
        <v>9</v>
      </c>
      <c r="F17" s="69">
        <f>SUM(E17)/E7*100</f>
        <v>1.7390632246096768E-2</v>
      </c>
      <c r="G17" s="87">
        <f t="shared" si="0"/>
        <v>-9</v>
      </c>
    </row>
    <row r="18" spans="2:7" ht="30" x14ac:dyDescent="0.25">
      <c r="B18" s="66" t="s">
        <v>87</v>
      </c>
      <c r="C18" s="13">
        <v>835</v>
      </c>
      <c r="D18" s="67">
        <f>SUM(C18)/C7*100</f>
        <v>1.7383520006661948</v>
      </c>
      <c r="E18" s="13">
        <v>1119</v>
      </c>
      <c r="F18" s="67">
        <f>SUM(E18)/E7*100</f>
        <v>2.1622352759313652</v>
      </c>
      <c r="G18" s="38">
        <f t="shared" si="0"/>
        <v>284</v>
      </c>
    </row>
    <row r="19" spans="2:7" ht="34.5" customHeight="1" x14ac:dyDescent="0.25">
      <c r="B19" s="66" t="s">
        <v>95</v>
      </c>
      <c r="C19" s="13">
        <v>393</v>
      </c>
      <c r="D19" s="67">
        <f>SUM(C19)/C7*100</f>
        <v>0.81817046258899939</v>
      </c>
      <c r="E19" s="68">
        <v>430</v>
      </c>
      <c r="F19" s="69">
        <f>SUM(E19)/E7*100</f>
        <v>0.8308857628690679</v>
      </c>
      <c r="G19" s="87">
        <f t="shared" si="0"/>
        <v>37</v>
      </c>
    </row>
    <row r="20" spans="2:7" ht="30" customHeight="1" x14ac:dyDescent="0.25">
      <c r="B20" s="66" t="s">
        <v>143</v>
      </c>
      <c r="C20" s="13">
        <v>74</v>
      </c>
      <c r="D20" s="67">
        <f>SUM(C20)/C7*100</f>
        <v>0.15405754257401008</v>
      </c>
      <c r="E20" s="68">
        <v>58</v>
      </c>
      <c r="F20" s="69">
        <f>SUM(E20)/E7*100</f>
        <v>0.11207296336373475</v>
      </c>
      <c r="G20" s="87">
        <f t="shared" si="0"/>
        <v>-16</v>
      </c>
    </row>
    <row r="21" spans="2:7" ht="32.25" customHeight="1" x14ac:dyDescent="0.25">
      <c r="B21" s="66" t="s">
        <v>144</v>
      </c>
      <c r="C21" s="13">
        <v>0</v>
      </c>
      <c r="D21" s="67">
        <f>SUM(C21)/C7*100</f>
        <v>0</v>
      </c>
      <c r="E21" s="68">
        <v>1</v>
      </c>
      <c r="F21" s="69">
        <f>SUM(E21)/E7*100</f>
        <v>1.9322924717885299E-3</v>
      </c>
      <c r="G21" s="87">
        <f t="shared" si="0"/>
        <v>1</v>
      </c>
    </row>
    <row r="22" spans="2:7" ht="33.75" customHeight="1" x14ac:dyDescent="0.25">
      <c r="B22" s="66" t="s">
        <v>145</v>
      </c>
      <c r="C22" s="13">
        <v>0</v>
      </c>
      <c r="D22" s="67">
        <f>SUM(C22)/C7*100</f>
        <v>0</v>
      </c>
      <c r="E22" s="68">
        <v>0</v>
      </c>
      <c r="F22" s="69">
        <f>SUM(E22)/E7*100</f>
        <v>0</v>
      </c>
      <c r="G22" s="87">
        <f t="shared" si="0"/>
        <v>0</v>
      </c>
    </row>
    <row r="23" spans="2:7" ht="36.75" customHeight="1" x14ac:dyDescent="0.25">
      <c r="B23" s="66" t="s">
        <v>146</v>
      </c>
      <c r="C23" s="13">
        <v>0</v>
      </c>
      <c r="D23" s="67">
        <f>SUM(C23)/C7*100</f>
        <v>0</v>
      </c>
      <c r="E23" s="68">
        <v>0</v>
      </c>
      <c r="F23" s="69">
        <f>SUM(E23)/E7*100</f>
        <v>0</v>
      </c>
      <c r="G23" s="87">
        <f t="shared" si="0"/>
        <v>0</v>
      </c>
    </row>
    <row r="24" spans="2:7" ht="30" customHeight="1" x14ac:dyDescent="0.25">
      <c r="B24" s="80" t="s">
        <v>147</v>
      </c>
      <c r="C24" s="34">
        <v>74</v>
      </c>
      <c r="D24" s="72">
        <f>SUM(C24)/C7*100</f>
        <v>0.15405754257401008</v>
      </c>
      <c r="E24" s="81">
        <v>64</v>
      </c>
      <c r="F24" s="82">
        <f>SUM(E24)/E7*100</f>
        <v>0.12366671819446591</v>
      </c>
      <c r="G24" s="88">
        <f t="shared" si="0"/>
        <v>-10</v>
      </c>
    </row>
    <row r="25" spans="2:7" ht="27.75" customHeight="1" thickBot="1" x14ac:dyDescent="0.3">
      <c r="B25" s="401" t="s">
        <v>154</v>
      </c>
      <c r="C25" s="34">
        <v>107</v>
      </c>
      <c r="D25" s="72">
        <f>SUM(C25)/C7*100</f>
        <v>0.22275887912728484</v>
      </c>
      <c r="E25" s="34">
        <v>108</v>
      </c>
      <c r="F25" s="72">
        <f>SUM(E25)/E7*100</f>
        <v>0.20868758695316122</v>
      </c>
      <c r="G25" s="39">
        <f t="shared" si="0"/>
        <v>1</v>
      </c>
    </row>
    <row r="26" spans="2:7" ht="20.25" customHeight="1" thickBot="1" x14ac:dyDescent="0.3">
      <c r="B26" s="403" t="s">
        <v>148</v>
      </c>
      <c r="C26" s="404">
        <f>SUM(C27:C35)</f>
        <v>12221</v>
      </c>
      <c r="D26" s="405">
        <f>SUM(C26)/C7*100</f>
        <v>25.442394970229422</v>
      </c>
      <c r="E26" s="404">
        <f>SUM(E27:E35)</f>
        <v>16307</v>
      </c>
      <c r="F26" s="405">
        <f>SUM(E26)/E7*100</f>
        <v>31.509893337455559</v>
      </c>
      <c r="G26" s="406">
        <f t="shared" si="0"/>
        <v>4086</v>
      </c>
    </row>
    <row r="27" spans="2:7" ht="60" customHeight="1" x14ac:dyDescent="0.25">
      <c r="B27" s="73" t="s">
        <v>149</v>
      </c>
      <c r="C27" s="402">
        <v>550</v>
      </c>
      <c r="D27" s="74">
        <f>SUM(C27)/C7*100</f>
        <v>1.1450222758879127</v>
      </c>
      <c r="E27" s="402">
        <v>878</v>
      </c>
      <c r="F27" s="74">
        <f>SUM(E27)/E7*100</f>
        <v>1.6965527902303292</v>
      </c>
      <c r="G27" s="40">
        <f t="shared" si="0"/>
        <v>328</v>
      </c>
    </row>
    <row r="28" spans="2:7" ht="25.5" customHeight="1" x14ac:dyDescent="0.25">
      <c r="B28" s="70" t="s">
        <v>96</v>
      </c>
      <c r="C28" s="601"/>
      <c r="D28" s="67">
        <f>SUM(C28)/C7*100</f>
        <v>0</v>
      </c>
      <c r="E28" s="572"/>
      <c r="F28" s="69">
        <f>SUM(E28)/E7*100</f>
        <v>0</v>
      </c>
      <c r="G28" s="87">
        <f t="shared" si="0"/>
        <v>0</v>
      </c>
    </row>
    <row r="29" spans="2:7" ht="24" customHeight="1" x14ac:dyDescent="0.25">
      <c r="B29" s="70" t="s">
        <v>150</v>
      </c>
      <c r="C29" s="68">
        <v>4055</v>
      </c>
      <c r="D29" s="67">
        <f>SUM(C29)/C7*100</f>
        <v>8.4419369613190653</v>
      </c>
      <c r="E29" s="68">
        <v>6470</v>
      </c>
      <c r="F29" s="67">
        <f>SUM(E29)/E7*100</f>
        <v>12.501932292471787</v>
      </c>
      <c r="G29" s="38">
        <f t="shared" si="0"/>
        <v>2415</v>
      </c>
    </row>
    <row r="30" spans="2:7" ht="27" customHeight="1" x14ac:dyDescent="0.25">
      <c r="B30" s="70" t="s">
        <v>98</v>
      </c>
      <c r="C30" s="13">
        <v>2733</v>
      </c>
      <c r="D30" s="67">
        <f>SUM(C30)/C7*100</f>
        <v>5.6897197818212097</v>
      </c>
      <c r="E30" s="13">
        <v>3778</v>
      </c>
      <c r="F30" s="67">
        <f>SUM(E30)/E7*100</f>
        <v>7.300200958417066</v>
      </c>
      <c r="G30" s="38">
        <f t="shared" si="0"/>
        <v>1045</v>
      </c>
    </row>
    <row r="31" spans="2:7" ht="24" customHeight="1" x14ac:dyDescent="0.25">
      <c r="B31" s="70" t="s">
        <v>99</v>
      </c>
      <c r="C31" s="13">
        <v>61</v>
      </c>
      <c r="D31" s="67">
        <f>SUM(C31)/C7*100</f>
        <v>0.12699337968938668</v>
      </c>
      <c r="E31" s="13">
        <v>26</v>
      </c>
      <c r="F31" s="67">
        <f>SUM(E31)/E7*100</f>
        <v>5.0239604266501779E-2</v>
      </c>
      <c r="G31" s="38">
        <f t="shared" si="0"/>
        <v>-35</v>
      </c>
    </row>
    <row r="32" spans="2:7" ht="30" customHeight="1" x14ac:dyDescent="0.25">
      <c r="B32" s="70" t="s">
        <v>100</v>
      </c>
      <c r="C32" s="13">
        <v>917</v>
      </c>
      <c r="D32" s="67">
        <f>SUM(C32)/C7*100</f>
        <v>1.9090644127076655</v>
      </c>
      <c r="E32" s="13">
        <v>810</v>
      </c>
      <c r="F32" s="67">
        <f>SUM(E32)/E7*100</f>
        <v>1.5651569021487095</v>
      </c>
      <c r="G32" s="38">
        <f t="shared" si="0"/>
        <v>-107</v>
      </c>
    </row>
    <row r="33" spans="2:7" ht="29.25" customHeight="1" x14ac:dyDescent="0.25">
      <c r="B33" s="70" t="s">
        <v>92</v>
      </c>
      <c r="C33" s="13">
        <v>205</v>
      </c>
      <c r="D33" s="67">
        <f>SUM(C33)/C7*100</f>
        <v>0.42678103010367652</v>
      </c>
      <c r="E33" s="13">
        <v>198</v>
      </c>
      <c r="F33" s="67">
        <f>SUM(E33)/E7*100</f>
        <v>0.38259390941412896</v>
      </c>
      <c r="G33" s="38">
        <f t="shared" si="0"/>
        <v>-7</v>
      </c>
    </row>
    <row r="34" spans="2:7" ht="28.5" customHeight="1" x14ac:dyDescent="0.25">
      <c r="B34" s="71" t="s">
        <v>93</v>
      </c>
      <c r="C34" s="34">
        <v>404</v>
      </c>
      <c r="D34" s="72">
        <f>SUM(C34)/C7*100</f>
        <v>0.84107090810675766</v>
      </c>
      <c r="E34" s="34">
        <v>240</v>
      </c>
      <c r="F34" s="72">
        <f>SUM(E34)/E7*100</f>
        <v>0.46375019322924721</v>
      </c>
      <c r="G34" s="39">
        <f t="shared" si="0"/>
        <v>-164</v>
      </c>
    </row>
    <row r="35" spans="2:7" ht="24.75" customHeight="1" thickBot="1" x14ac:dyDescent="0.3">
      <c r="B35" s="71" t="s">
        <v>101</v>
      </c>
      <c r="C35" s="34">
        <v>3296</v>
      </c>
      <c r="D35" s="72">
        <f>SUM(C35)/C7*100</f>
        <v>6.8618062205937456</v>
      </c>
      <c r="E35" s="34">
        <v>3907</v>
      </c>
      <c r="F35" s="72">
        <f>SUM(E35)/E7*100</f>
        <v>7.5494666872777865</v>
      </c>
      <c r="G35" s="39">
        <f t="shared" si="0"/>
        <v>611</v>
      </c>
    </row>
    <row r="36" spans="2:7" ht="35.25" customHeight="1" thickBot="1" x14ac:dyDescent="0.3">
      <c r="B36" s="396" t="s">
        <v>586</v>
      </c>
      <c r="C36" s="397">
        <f>SUM(C37,C39,C41:C42,C44)</f>
        <v>4961</v>
      </c>
      <c r="D36" s="398">
        <f>SUM(C36)/C7*100</f>
        <v>10.328100928508972</v>
      </c>
      <c r="E36" s="397">
        <f>SUM(E37,E39,E41:E42,E44)</f>
        <v>5904</v>
      </c>
      <c r="F36" s="398">
        <f>SUM(E36)/E7*100</f>
        <v>11.408254753439481</v>
      </c>
      <c r="G36" s="399">
        <f t="shared" si="0"/>
        <v>943</v>
      </c>
    </row>
    <row r="37" spans="2:7" ht="27" customHeight="1" x14ac:dyDescent="0.25">
      <c r="B37" s="73" t="s">
        <v>88</v>
      </c>
      <c r="C37" s="36">
        <v>350</v>
      </c>
      <c r="D37" s="74">
        <f>SUM(C37)/C7*100</f>
        <v>0.72865053920139899</v>
      </c>
      <c r="E37" s="36">
        <v>773</v>
      </c>
      <c r="F37" s="74">
        <f>SUM(E37)/E7*100</f>
        <v>1.4936620806925336</v>
      </c>
      <c r="G37" s="40">
        <f t="shared" si="0"/>
        <v>423</v>
      </c>
    </row>
    <row r="38" spans="2:7" ht="23.25" customHeight="1" x14ac:dyDescent="0.25">
      <c r="B38" s="400" t="s">
        <v>151</v>
      </c>
      <c r="C38" s="13">
        <v>92</v>
      </c>
      <c r="D38" s="67">
        <f>SUM(C38)/C7*100</f>
        <v>0.1915309988757963</v>
      </c>
      <c r="E38" s="68">
        <v>95</v>
      </c>
      <c r="F38" s="74">
        <f>SUM(E38)/E7*100</f>
        <v>0.18356778481991035</v>
      </c>
      <c r="G38" s="87">
        <f t="shared" si="0"/>
        <v>3</v>
      </c>
    </row>
    <row r="39" spans="2:7" ht="25.5" customHeight="1" x14ac:dyDescent="0.25">
      <c r="B39" s="70" t="s">
        <v>89</v>
      </c>
      <c r="C39" s="13">
        <v>4065</v>
      </c>
      <c r="D39" s="67">
        <f>SUM(C39)/C7*100</f>
        <v>8.4627555481533925</v>
      </c>
      <c r="E39" s="13">
        <v>4612</v>
      </c>
      <c r="F39" s="67">
        <f>SUM(E39)/E7*100</f>
        <v>8.9117328798886994</v>
      </c>
      <c r="G39" s="38">
        <f t="shared" si="0"/>
        <v>547</v>
      </c>
    </row>
    <row r="40" spans="2:7" ht="27" customHeight="1" x14ac:dyDescent="0.25">
      <c r="B40" s="400" t="s">
        <v>152</v>
      </c>
      <c r="C40" s="13">
        <v>8</v>
      </c>
      <c r="D40" s="67">
        <f>SUM(C40)/C7*100</f>
        <v>1.6654869467460549E-2</v>
      </c>
      <c r="E40" s="68">
        <v>8</v>
      </c>
      <c r="F40" s="69">
        <f>SUM(E40)/E7*100</f>
        <v>1.5458339774308239E-2</v>
      </c>
      <c r="G40" s="87">
        <f t="shared" si="0"/>
        <v>0</v>
      </c>
    </row>
    <row r="41" spans="2:7" ht="28.5" customHeight="1" x14ac:dyDescent="0.25">
      <c r="B41" s="70" t="s">
        <v>90</v>
      </c>
      <c r="C41" s="13">
        <v>0</v>
      </c>
      <c r="D41" s="67">
        <f>SUM(C41)/C7*100</f>
        <v>0</v>
      </c>
      <c r="E41" s="13">
        <v>0</v>
      </c>
      <c r="F41" s="67">
        <f>SUM(E41)/E7*100</f>
        <v>0</v>
      </c>
      <c r="G41" s="38">
        <f t="shared" si="0"/>
        <v>0</v>
      </c>
    </row>
    <row r="42" spans="2:7" ht="25.5" customHeight="1" x14ac:dyDescent="0.25">
      <c r="B42" s="70" t="s">
        <v>91</v>
      </c>
      <c r="C42" s="13">
        <v>546</v>
      </c>
      <c r="D42" s="67">
        <f>SUM(C42)/C7*100</f>
        <v>1.1366948411541824</v>
      </c>
      <c r="E42" s="13">
        <v>519</v>
      </c>
      <c r="F42" s="67">
        <f>SUM(E42)/E7*100</f>
        <v>1.002859792858247</v>
      </c>
      <c r="G42" s="38">
        <f t="shared" si="0"/>
        <v>-27</v>
      </c>
    </row>
    <row r="43" spans="2:7" ht="29.25" customHeight="1" x14ac:dyDescent="0.25">
      <c r="B43" s="400" t="s">
        <v>153</v>
      </c>
      <c r="C43" s="13">
        <v>6</v>
      </c>
      <c r="D43" s="67">
        <f>SUM(C43)/C7*100</f>
        <v>1.2491152100595412E-2</v>
      </c>
      <c r="E43" s="68">
        <v>6</v>
      </c>
      <c r="F43" s="69">
        <f>SUM(E43)/E7*100</f>
        <v>1.159375483073118E-2</v>
      </c>
      <c r="G43" s="87">
        <f t="shared" si="0"/>
        <v>0</v>
      </c>
    </row>
    <row r="44" spans="2:7" ht="36" customHeight="1" thickBot="1" x14ac:dyDescent="0.3">
      <c r="B44" s="75" t="s">
        <v>97</v>
      </c>
      <c r="C44" s="20">
        <v>0</v>
      </c>
      <c r="D44" s="78">
        <f>SUM(C44)/C7*100</f>
        <v>0</v>
      </c>
      <c r="E44" s="76">
        <v>0</v>
      </c>
      <c r="F44" s="77">
        <f>SUM(E44)/E7*100</f>
        <v>0</v>
      </c>
      <c r="G44" s="89">
        <f t="shared" si="0"/>
        <v>0</v>
      </c>
    </row>
  </sheetData>
  <mergeCells count="4">
    <mergeCell ref="B4:B6"/>
    <mergeCell ref="E4:F5"/>
    <mergeCell ref="C4:D5"/>
    <mergeCell ref="G4:G5"/>
  </mergeCells>
  <pageMargins left="0.6692913385826772" right="0" top="0" bottom="0" header="0" footer="0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2:H13"/>
  <sheetViews>
    <sheetView workbookViewId="0">
      <selection activeCell="B1" sqref="B1"/>
    </sheetView>
  </sheetViews>
  <sheetFormatPr defaultColWidth="9.140625" defaultRowHeight="15" x14ac:dyDescent="0.25"/>
  <cols>
    <col min="1" max="1" width="2.28515625" style="2" customWidth="1"/>
    <col min="2" max="2" width="38.28515625" style="2" customWidth="1"/>
    <col min="3" max="3" width="10" style="2" customWidth="1"/>
    <col min="4" max="4" width="8.5703125" style="2" customWidth="1"/>
    <col min="5" max="5" width="9.140625" style="2"/>
    <col min="6" max="6" width="8.140625" style="2" customWidth="1"/>
    <col min="7" max="7" width="9.140625" style="2" customWidth="1"/>
    <col min="8" max="8" width="8.85546875" style="2" customWidth="1"/>
    <col min="9" max="9" width="10.28515625" style="2" customWidth="1"/>
    <col min="10" max="16384" width="9.140625" style="2"/>
  </cols>
  <sheetData>
    <row r="2" spans="2:8" x14ac:dyDescent="0.25">
      <c r="B2" s="11" t="s">
        <v>270</v>
      </c>
    </row>
    <row r="3" spans="2:8" x14ac:dyDescent="0.25">
      <c r="B3" s="11" t="s">
        <v>371</v>
      </c>
    </row>
    <row r="4" spans="2:8" ht="15.75" thickBot="1" x14ac:dyDescent="0.3"/>
    <row r="5" spans="2:8" ht="27.75" customHeight="1" x14ac:dyDescent="0.25">
      <c r="B5" s="922" t="s">
        <v>155</v>
      </c>
      <c r="C5" s="924" t="s">
        <v>415</v>
      </c>
      <c r="D5" s="924"/>
      <c r="E5" s="899" t="s">
        <v>495</v>
      </c>
      <c r="F5" s="924"/>
      <c r="G5" s="924" t="s">
        <v>123</v>
      </c>
      <c r="H5" s="898"/>
    </row>
    <row r="6" spans="2:8" ht="32.25" customHeight="1" thickBot="1" x14ac:dyDescent="0.3">
      <c r="B6" s="923"/>
      <c r="C6" s="694" t="s">
        <v>121</v>
      </c>
      <c r="D6" s="694" t="s">
        <v>484</v>
      </c>
      <c r="E6" s="105" t="s">
        <v>121</v>
      </c>
      <c r="F6" s="694" t="s">
        <v>484</v>
      </c>
      <c r="G6" s="106" t="s">
        <v>121</v>
      </c>
      <c r="H6" s="695" t="s">
        <v>484</v>
      </c>
    </row>
    <row r="7" spans="2:8" ht="30" customHeight="1" x14ac:dyDescent="0.25">
      <c r="B7" s="696" t="s">
        <v>4</v>
      </c>
      <c r="C7" s="697">
        <v>30852</v>
      </c>
      <c r="D7" s="698">
        <f>SUM(D8:D9)</f>
        <v>100</v>
      </c>
      <c r="E7" s="699">
        <v>29541</v>
      </c>
      <c r="F7" s="698">
        <f>SUM(F8:F9)</f>
        <v>100</v>
      </c>
      <c r="G7" s="700">
        <f>E7-C7</f>
        <v>-1311</v>
      </c>
      <c r="H7" s="701">
        <f>G7/C7*100</f>
        <v>-4.2493193309996107</v>
      </c>
    </row>
    <row r="8" spans="2:8" ht="29.25" customHeight="1" x14ac:dyDescent="0.25">
      <c r="B8" s="12" t="s">
        <v>5</v>
      </c>
      <c r="C8" s="9">
        <v>14192</v>
      </c>
      <c r="D8" s="10">
        <f>SUM(C8)/C7*100</f>
        <v>46.000259302476337</v>
      </c>
      <c r="E8" s="6">
        <v>14683</v>
      </c>
      <c r="F8" s="10">
        <f>SUM(E8)/E7*100</f>
        <v>49.703801496225587</v>
      </c>
      <c r="G8" s="109">
        <f>E8-C8</f>
        <v>491</v>
      </c>
      <c r="H8" s="60">
        <f>E8*100/C8-100</f>
        <v>3.4596956031567032</v>
      </c>
    </row>
    <row r="9" spans="2:8" ht="27.75" customHeight="1" thickBot="1" x14ac:dyDescent="0.3">
      <c r="B9" s="93" t="s">
        <v>6</v>
      </c>
      <c r="C9" s="5">
        <f>SUM(C7-C8)</f>
        <v>16660</v>
      </c>
      <c r="D9" s="53">
        <f>SUM(C9)/C7*100</f>
        <v>53.999740697523656</v>
      </c>
      <c r="E9" s="4">
        <f>SUM(E7)-E8</f>
        <v>14858</v>
      </c>
      <c r="F9" s="53">
        <f>SUM(E9)/E7*100</f>
        <v>50.296198503774413</v>
      </c>
      <c r="G9" s="110">
        <f>E9-C9</f>
        <v>-1802</v>
      </c>
      <c r="H9" s="101">
        <f>E9*100/C9-100</f>
        <v>-10.816326530612244</v>
      </c>
    </row>
    <row r="10" spans="2:8" ht="25.5" customHeight="1" x14ac:dyDescent="0.25">
      <c r="B10" s="314" t="s">
        <v>156</v>
      </c>
      <c r="C10" s="315"/>
      <c r="D10" s="315"/>
      <c r="E10" s="315"/>
      <c r="F10" s="315"/>
      <c r="G10" s="315"/>
      <c r="H10" s="316"/>
    </row>
    <row r="11" spans="2:8" ht="25.5" customHeight="1" x14ac:dyDescent="0.25">
      <c r="B11" s="12" t="s">
        <v>157</v>
      </c>
      <c r="C11" s="9">
        <v>27631</v>
      </c>
      <c r="D11" s="10">
        <f>SUM(C11)/C7*100</f>
        <v>89.559834046415148</v>
      </c>
      <c r="E11" s="6">
        <v>26385</v>
      </c>
      <c r="F11" s="10">
        <f>SUM(E11)/E7*100</f>
        <v>89.316543109576514</v>
      </c>
      <c r="G11" s="98">
        <f>E11-C11</f>
        <v>-1246</v>
      </c>
      <c r="H11" s="7">
        <f>E11*100/C11-100</f>
        <v>-4.5094278165828285</v>
      </c>
    </row>
    <row r="12" spans="2:8" ht="30" x14ac:dyDescent="0.25">
      <c r="B12" s="12" t="s">
        <v>158</v>
      </c>
      <c r="C12" s="14">
        <v>1705</v>
      </c>
      <c r="D12" s="96">
        <f>SUM(C12)/C7*100</f>
        <v>5.5263840269674578</v>
      </c>
      <c r="E12" s="94">
        <v>1158</v>
      </c>
      <c r="F12" s="96">
        <f>SUM(E12)/E7*100</f>
        <v>3.9199756270945461</v>
      </c>
      <c r="G12" s="99">
        <f>E12-C12</f>
        <v>-547</v>
      </c>
      <c r="H12" s="31">
        <f>E12*100/C12-100</f>
        <v>-32.082111436950143</v>
      </c>
    </row>
    <row r="13" spans="2:8" ht="23.25" customHeight="1" thickBot="1" x14ac:dyDescent="0.3">
      <c r="B13" s="391" t="s">
        <v>2</v>
      </c>
      <c r="C13" s="21">
        <v>3221</v>
      </c>
      <c r="D13" s="97">
        <f>SUM(C13)/C7*100</f>
        <v>10.440165953584856</v>
      </c>
      <c r="E13" s="95">
        <v>3156</v>
      </c>
      <c r="F13" s="97">
        <f>SUM(E13)/E7*100</f>
        <v>10.683456890423479</v>
      </c>
      <c r="G13" s="100">
        <f>E13-C13</f>
        <v>-65</v>
      </c>
      <c r="H13" s="32">
        <f>E13*100/C13-100</f>
        <v>-2.018006830176958</v>
      </c>
    </row>
  </sheetData>
  <mergeCells count="4">
    <mergeCell ref="B5:B6"/>
    <mergeCell ref="E5:F5"/>
    <mergeCell ref="C5:D5"/>
    <mergeCell ref="G5:H5"/>
  </mergeCells>
  <pageMargins left="1.8897637795275593" right="0.70866141732283472" top="1.7322834645669292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B2:O34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21.7109375" style="11" customWidth="1"/>
    <col min="3" max="3" width="9.42578125" style="11" customWidth="1"/>
    <col min="4" max="4" width="11" style="11" customWidth="1"/>
    <col min="5" max="5" width="7.140625" style="11" customWidth="1"/>
    <col min="6" max="6" width="9" style="11" customWidth="1"/>
    <col min="7" max="7" width="11.140625" style="11" customWidth="1"/>
    <col min="8" max="8" width="7" style="11" customWidth="1"/>
    <col min="9" max="9" width="8" style="11" customWidth="1"/>
    <col min="10" max="10" width="7.140625" style="11" customWidth="1"/>
    <col min="11" max="11" width="8.7109375" style="11" customWidth="1"/>
    <col min="12" max="12" width="7.28515625" style="11" customWidth="1"/>
    <col min="13" max="13" width="2.7109375" style="11" customWidth="1"/>
    <col min="14" max="14" width="10.7109375" style="11" customWidth="1"/>
    <col min="15" max="15" width="10.28515625" style="11" customWidth="1"/>
    <col min="16" max="16384" width="9.140625" style="11"/>
  </cols>
  <sheetData>
    <row r="2" spans="2:15" x14ac:dyDescent="0.25">
      <c r="B2" s="11" t="s">
        <v>269</v>
      </c>
    </row>
    <row r="3" spans="2:15" x14ac:dyDescent="0.25">
      <c r="B3" s="11" t="s">
        <v>372</v>
      </c>
    </row>
    <row r="4" spans="2:15" ht="14.45" thickBot="1" x14ac:dyDescent="0.3"/>
    <row r="5" spans="2:15" ht="15.75" thickBot="1" x14ac:dyDescent="0.3">
      <c r="B5" s="901" t="s">
        <v>122</v>
      </c>
      <c r="C5" s="927" t="s">
        <v>160</v>
      </c>
      <c r="D5" s="928"/>
      <c r="E5" s="928"/>
      <c r="F5" s="928"/>
      <c r="G5" s="928"/>
      <c r="H5" s="928"/>
      <c r="I5" s="928"/>
      <c r="J5" s="928"/>
      <c r="K5" s="928"/>
      <c r="L5" s="929"/>
    </row>
    <row r="6" spans="2:15" ht="28.5" customHeight="1" x14ac:dyDescent="0.25">
      <c r="B6" s="902"/>
      <c r="C6" s="930" t="s">
        <v>414</v>
      </c>
      <c r="D6" s="931"/>
      <c r="E6" s="932"/>
      <c r="F6" s="930" t="s">
        <v>491</v>
      </c>
      <c r="G6" s="931"/>
      <c r="H6" s="932"/>
      <c r="I6" s="930" t="s">
        <v>123</v>
      </c>
      <c r="J6" s="931"/>
      <c r="K6" s="931"/>
      <c r="L6" s="932"/>
    </row>
    <row r="7" spans="2:15" ht="43.5" customHeight="1" x14ac:dyDescent="0.25">
      <c r="B7" s="902"/>
      <c r="C7" s="925" t="s">
        <v>4</v>
      </c>
      <c r="D7" s="933" t="s">
        <v>80</v>
      </c>
      <c r="E7" s="934"/>
      <c r="F7" s="925" t="s">
        <v>4</v>
      </c>
      <c r="G7" s="933" t="s">
        <v>80</v>
      </c>
      <c r="H7" s="934"/>
      <c r="I7" s="935" t="s">
        <v>4</v>
      </c>
      <c r="J7" s="936"/>
      <c r="K7" s="933" t="s">
        <v>80</v>
      </c>
      <c r="L7" s="934"/>
    </row>
    <row r="8" spans="2:15" ht="15" customHeight="1" thickBot="1" x14ac:dyDescent="0.3">
      <c r="B8" s="903"/>
      <c r="C8" s="926"/>
      <c r="D8" s="286" t="s">
        <v>121</v>
      </c>
      <c r="E8" s="287" t="s">
        <v>484</v>
      </c>
      <c r="F8" s="926"/>
      <c r="G8" s="104" t="s">
        <v>121</v>
      </c>
      <c r="H8" s="688" t="s">
        <v>484</v>
      </c>
      <c r="I8" s="285" t="s">
        <v>121</v>
      </c>
      <c r="J8" s="703" t="s">
        <v>484</v>
      </c>
      <c r="K8" s="105" t="s">
        <v>121</v>
      </c>
      <c r="L8" s="688" t="s">
        <v>484</v>
      </c>
      <c r="N8" s="510" t="s">
        <v>382</v>
      </c>
      <c r="O8" s="510" t="s">
        <v>383</v>
      </c>
    </row>
    <row r="9" spans="2:15" ht="26.25" customHeight="1" thickBot="1" x14ac:dyDescent="0.3">
      <c r="B9" s="234" t="s">
        <v>22</v>
      </c>
      <c r="C9" s="85">
        <f>SUM(C10:C34)</f>
        <v>48034</v>
      </c>
      <c r="D9" s="305">
        <f>SUM(D10:D34)</f>
        <v>30852</v>
      </c>
      <c r="E9" s="329">
        <f>D9/C9*100</f>
        <v>64.229504101261597</v>
      </c>
      <c r="F9" s="85">
        <f>SUM(F10:F34)</f>
        <v>51752</v>
      </c>
      <c r="G9" s="305">
        <f>SUM(G10:G34)</f>
        <v>29541</v>
      </c>
      <c r="H9" s="306">
        <f>SUM(G9)/F9*100</f>
        <v>57.081851909104962</v>
      </c>
      <c r="I9" s="85">
        <f>SUM(F9)-C9</f>
        <v>3718</v>
      </c>
      <c r="J9" s="330">
        <f>SUM(I9)/C9*100</f>
        <v>7.7403505850022896</v>
      </c>
      <c r="K9" s="305">
        <f>SUM(G9)-D9</f>
        <v>-1311</v>
      </c>
      <c r="L9" s="306">
        <f>SUM(K9)/D9*100</f>
        <v>-4.2493193309996107</v>
      </c>
      <c r="N9" s="512" t="s">
        <v>102</v>
      </c>
      <c r="O9" s="512" t="s">
        <v>102</v>
      </c>
    </row>
    <row r="10" spans="2:15" ht="18" customHeight="1" x14ac:dyDescent="0.25">
      <c r="B10" s="59" t="s">
        <v>23</v>
      </c>
      <c r="C10" s="205">
        <v>696</v>
      </c>
      <c r="D10" s="206">
        <v>476</v>
      </c>
      <c r="E10" s="111">
        <f t="shared" ref="E10:E34" si="0">D10/C10*100</f>
        <v>68.390804597701148</v>
      </c>
      <c r="F10" s="205">
        <v>767</v>
      </c>
      <c r="G10" s="206">
        <v>451</v>
      </c>
      <c r="H10" s="60">
        <f t="shared" ref="H10:H34" si="1">SUM(G10)/F10*100</f>
        <v>58.80052151238592</v>
      </c>
      <c r="I10" s="205">
        <f t="shared" ref="I10:I34" si="2">SUM(F10)-C10</f>
        <v>71</v>
      </c>
      <c r="J10" s="312">
        <f t="shared" ref="J10:J34" si="3">SUM(I10)/C10*100</f>
        <v>10.201149425287356</v>
      </c>
      <c r="K10" s="206">
        <f>SUM(G10)-D10</f>
        <v>-25</v>
      </c>
      <c r="L10" s="60">
        <f t="shared" ref="L10:L34" si="4">SUM(K10)/D10*100</f>
        <v>-5.2521008403361344</v>
      </c>
      <c r="N10" s="206">
        <f>RANK(F10,F10:F34,0)</f>
        <v>24</v>
      </c>
      <c r="O10" s="206">
        <f>RANK(F10,F10:F34,1)</f>
        <v>2</v>
      </c>
    </row>
    <row r="11" spans="2:15" ht="15.75" customHeight="1" x14ac:dyDescent="0.25">
      <c r="B11" s="12" t="s">
        <v>24</v>
      </c>
      <c r="C11" s="56">
        <v>2094</v>
      </c>
      <c r="D11" s="9">
        <v>1376</v>
      </c>
      <c r="E11" s="111">
        <f t="shared" si="0"/>
        <v>65.711556829035331</v>
      </c>
      <c r="F11" s="56">
        <v>2056</v>
      </c>
      <c r="G11" s="9">
        <v>1245</v>
      </c>
      <c r="H11" s="7">
        <f t="shared" si="1"/>
        <v>60.554474708171199</v>
      </c>
      <c r="I11" s="56">
        <f t="shared" si="2"/>
        <v>-38</v>
      </c>
      <c r="J11" s="112">
        <f t="shared" si="3"/>
        <v>-1.8147086914995225</v>
      </c>
      <c r="K11" s="9">
        <f>SUM(G11)-D11</f>
        <v>-131</v>
      </c>
      <c r="L11" s="7">
        <f t="shared" si="4"/>
        <v>-9.520348837209303</v>
      </c>
      <c r="N11" s="9">
        <f>RANK(F11,F10:F34,0)</f>
        <v>13</v>
      </c>
      <c r="O11" s="9">
        <f>RANK(F11,F10:F34,1)</f>
        <v>13</v>
      </c>
    </row>
    <row r="12" spans="2:15" x14ac:dyDescent="0.25">
      <c r="B12" s="12" t="s">
        <v>25</v>
      </c>
      <c r="C12" s="56">
        <v>2542</v>
      </c>
      <c r="D12" s="9">
        <v>1474</v>
      </c>
      <c r="E12" s="111">
        <f t="shared" si="0"/>
        <v>57.985837922895357</v>
      </c>
      <c r="F12" s="56">
        <v>2415</v>
      </c>
      <c r="G12" s="9">
        <v>1309</v>
      </c>
      <c r="H12" s="7">
        <f t="shared" si="1"/>
        <v>54.20289855072464</v>
      </c>
      <c r="I12" s="56">
        <f t="shared" si="2"/>
        <v>-127</v>
      </c>
      <c r="J12" s="112">
        <f t="shared" si="3"/>
        <v>-4.996066089693155</v>
      </c>
      <c r="K12" s="9">
        <f t="shared" ref="K12:K34" si="5">SUM(G12)-D12</f>
        <v>-165</v>
      </c>
      <c r="L12" s="7">
        <f t="shared" si="4"/>
        <v>-11.194029850746269</v>
      </c>
      <c r="N12" s="9">
        <f>RANK(F12,F10:F34,0)</f>
        <v>7</v>
      </c>
      <c r="O12" s="9">
        <f>RANK(F12,F10:F34,1)</f>
        <v>19</v>
      </c>
    </row>
    <row r="13" spans="2:15" x14ac:dyDescent="0.25">
      <c r="B13" s="12" t="s">
        <v>26</v>
      </c>
      <c r="C13" s="56">
        <v>3004</v>
      </c>
      <c r="D13" s="9">
        <v>2063</v>
      </c>
      <c r="E13" s="111">
        <f t="shared" si="0"/>
        <v>68.675099866844207</v>
      </c>
      <c r="F13" s="56">
        <v>3624</v>
      </c>
      <c r="G13" s="9">
        <v>2143</v>
      </c>
      <c r="H13" s="7">
        <f t="shared" si="1"/>
        <v>59.133554083885208</v>
      </c>
      <c r="I13" s="56">
        <f t="shared" si="2"/>
        <v>620</v>
      </c>
      <c r="J13" s="112">
        <f t="shared" si="3"/>
        <v>20.639147802929429</v>
      </c>
      <c r="K13" s="9">
        <f t="shared" si="5"/>
        <v>80</v>
      </c>
      <c r="L13" s="7">
        <f t="shared" si="4"/>
        <v>3.8778477944740666</v>
      </c>
      <c r="N13" s="9">
        <f>RANK(F13,F10:F34,0)</f>
        <v>1</v>
      </c>
      <c r="O13" s="9">
        <f>RANK(F13,F10:F34,1)</f>
        <v>25</v>
      </c>
    </row>
    <row r="14" spans="2:15" x14ac:dyDescent="0.25">
      <c r="B14" s="12" t="s">
        <v>27</v>
      </c>
      <c r="C14" s="56">
        <v>2256</v>
      </c>
      <c r="D14" s="9">
        <v>1495</v>
      </c>
      <c r="E14" s="111">
        <f t="shared" si="0"/>
        <v>66.267730496453908</v>
      </c>
      <c r="F14" s="56">
        <v>3341</v>
      </c>
      <c r="G14" s="9">
        <v>1656</v>
      </c>
      <c r="H14" s="7">
        <f t="shared" si="1"/>
        <v>49.565998204130501</v>
      </c>
      <c r="I14" s="56">
        <f t="shared" si="2"/>
        <v>1085</v>
      </c>
      <c r="J14" s="112">
        <f t="shared" si="3"/>
        <v>48.093971631205676</v>
      </c>
      <c r="K14" s="9">
        <f t="shared" si="5"/>
        <v>161</v>
      </c>
      <c r="L14" s="7">
        <f t="shared" si="4"/>
        <v>10.76923076923077</v>
      </c>
      <c r="N14" s="9">
        <f>RANK(F14,F10:F34,0)</f>
        <v>3</v>
      </c>
      <c r="O14" s="9">
        <f>RANK(F14,F10:F34,1)</f>
        <v>23</v>
      </c>
    </row>
    <row r="15" spans="2:15" x14ac:dyDescent="0.25">
      <c r="B15" s="12" t="s">
        <v>28</v>
      </c>
      <c r="C15" s="56">
        <v>1521</v>
      </c>
      <c r="D15" s="9">
        <v>855</v>
      </c>
      <c r="E15" s="111">
        <f t="shared" si="0"/>
        <v>56.213017751479285</v>
      </c>
      <c r="F15" s="56">
        <v>1333</v>
      </c>
      <c r="G15" s="9">
        <v>681</v>
      </c>
      <c r="H15" s="7">
        <f t="shared" si="1"/>
        <v>51.087771942985746</v>
      </c>
      <c r="I15" s="56">
        <f t="shared" si="2"/>
        <v>-188</v>
      </c>
      <c r="J15" s="112">
        <f t="shared" si="3"/>
        <v>-12.360289283366207</v>
      </c>
      <c r="K15" s="9">
        <f t="shared" si="5"/>
        <v>-174</v>
      </c>
      <c r="L15" s="7">
        <f t="shared" si="4"/>
        <v>-20.350877192982455</v>
      </c>
      <c r="N15" s="9">
        <f>RANK(F15,F10:F34,0)</f>
        <v>20</v>
      </c>
      <c r="O15" s="9">
        <f>RANK(F15,F10:F34,1)</f>
        <v>6</v>
      </c>
    </row>
    <row r="16" spans="2:15" x14ac:dyDescent="0.25">
      <c r="B16" s="12" t="s">
        <v>29</v>
      </c>
      <c r="C16" s="56">
        <v>1800</v>
      </c>
      <c r="D16" s="9">
        <v>1079</v>
      </c>
      <c r="E16" s="111">
        <f t="shared" si="0"/>
        <v>59.944444444444443</v>
      </c>
      <c r="F16" s="56">
        <v>1710</v>
      </c>
      <c r="G16" s="9">
        <v>884</v>
      </c>
      <c r="H16" s="7">
        <f t="shared" si="1"/>
        <v>51.695906432748536</v>
      </c>
      <c r="I16" s="56">
        <f t="shared" si="2"/>
        <v>-90</v>
      </c>
      <c r="J16" s="112">
        <f t="shared" si="3"/>
        <v>-5</v>
      </c>
      <c r="K16" s="9">
        <f t="shared" si="5"/>
        <v>-195</v>
      </c>
      <c r="L16" s="7">
        <f t="shared" si="4"/>
        <v>-18.072289156626507</v>
      </c>
      <c r="N16" s="9">
        <f>RANK(F16,F10:F34,0)</f>
        <v>17</v>
      </c>
      <c r="O16" s="9">
        <f>RANK(F16,F10:F34,1)</f>
        <v>9</v>
      </c>
    </row>
    <row r="17" spans="2:15" x14ac:dyDescent="0.25">
      <c r="B17" s="12" t="s">
        <v>30</v>
      </c>
      <c r="C17" s="56">
        <v>1039</v>
      </c>
      <c r="D17" s="9">
        <v>695</v>
      </c>
      <c r="E17" s="111">
        <f t="shared" si="0"/>
        <v>66.891241578440813</v>
      </c>
      <c r="F17" s="56">
        <v>970</v>
      </c>
      <c r="G17" s="9">
        <v>696</v>
      </c>
      <c r="H17" s="7">
        <f>SUM(G17)/F17*100</f>
        <v>71.75257731958763</v>
      </c>
      <c r="I17" s="56">
        <f t="shared" si="2"/>
        <v>-69</v>
      </c>
      <c r="J17" s="112">
        <f t="shared" si="3"/>
        <v>-6.6410009624639086</v>
      </c>
      <c r="K17" s="9">
        <f t="shared" si="5"/>
        <v>1</v>
      </c>
      <c r="L17" s="7">
        <f t="shared" si="4"/>
        <v>0.14388489208633093</v>
      </c>
      <c r="N17" s="9">
        <f>RANK(F17,F10:F34,0)</f>
        <v>23</v>
      </c>
      <c r="O17" s="9">
        <f>RANK(F17,F10:F34,1)</f>
        <v>3</v>
      </c>
    </row>
    <row r="18" spans="2:15" x14ac:dyDescent="0.25">
      <c r="B18" s="12" t="s">
        <v>31</v>
      </c>
      <c r="C18" s="56">
        <v>2144</v>
      </c>
      <c r="D18" s="9">
        <v>1284</v>
      </c>
      <c r="E18" s="111">
        <f t="shared" si="0"/>
        <v>59.888059701492537</v>
      </c>
      <c r="F18" s="56">
        <v>2296</v>
      </c>
      <c r="G18" s="9">
        <v>1157</v>
      </c>
      <c r="H18" s="7">
        <f>SUM(G18)/F18*100</f>
        <v>50.391986062717777</v>
      </c>
      <c r="I18" s="56">
        <f t="shared" si="2"/>
        <v>152</v>
      </c>
      <c r="J18" s="112">
        <f t="shared" si="3"/>
        <v>7.08955223880597</v>
      </c>
      <c r="K18" s="9">
        <f t="shared" si="5"/>
        <v>-127</v>
      </c>
      <c r="L18" s="7">
        <f t="shared" si="4"/>
        <v>-9.8909657320872277</v>
      </c>
      <c r="N18" s="9">
        <f>RANK(F18,F10:F34,0)</f>
        <v>9</v>
      </c>
      <c r="O18" s="9">
        <f>RANK(F18,F10:F34,1)</f>
        <v>17</v>
      </c>
    </row>
    <row r="19" spans="2:15" x14ac:dyDescent="0.25">
      <c r="B19" s="12" t="s">
        <v>32</v>
      </c>
      <c r="C19" s="56">
        <v>1488</v>
      </c>
      <c r="D19" s="9">
        <v>883</v>
      </c>
      <c r="E19" s="111">
        <f t="shared" si="0"/>
        <v>59.341397849462361</v>
      </c>
      <c r="F19" s="56">
        <v>1547</v>
      </c>
      <c r="G19" s="9">
        <v>831</v>
      </c>
      <c r="H19" s="7">
        <f>SUM(G19)/F19*100</f>
        <v>53.716871363930188</v>
      </c>
      <c r="I19" s="56">
        <f t="shared" si="2"/>
        <v>59</v>
      </c>
      <c r="J19" s="112">
        <f t="shared" si="3"/>
        <v>3.96505376344086</v>
      </c>
      <c r="K19" s="9">
        <f t="shared" si="5"/>
        <v>-52</v>
      </c>
      <c r="L19" s="7">
        <f t="shared" si="4"/>
        <v>-5.8890147225368059</v>
      </c>
      <c r="N19" s="9">
        <f>RANK(F19,F10:F34,0)</f>
        <v>19</v>
      </c>
      <c r="O19" s="9">
        <f>RANK(F19,F10:F34,1)</f>
        <v>7</v>
      </c>
    </row>
    <row r="20" spans="2:15" x14ac:dyDescent="0.25">
      <c r="B20" s="12" t="s">
        <v>33</v>
      </c>
      <c r="C20" s="56">
        <v>1879</v>
      </c>
      <c r="D20" s="9">
        <v>1317</v>
      </c>
      <c r="E20" s="111">
        <f t="shared" si="0"/>
        <v>70.090473656200103</v>
      </c>
      <c r="F20" s="56">
        <v>2355</v>
      </c>
      <c r="G20" s="9">
        <v>1389</v>
      </c>
      <c r="H20" s="7">
        <f t="shared" si="1"/>
        <v>58.980891719745223</v>
      </c>
      <c r="I20" s="56">
        <f t="shared" si="2"/>
        <v>476</v>
      </c>
      <c r="J20" s="112">
        <f t="shared" si="3"/>
        <v>25.332623736029802</v>
      </c>
      <c r="K20" s="9">
        <f t="shared" si="5"/>
        <v>72</v>
      </c>
      <c r="L20" s="7">
        <f t="shared" si="4"/>
        <v>5.4669703872437356</v>
      </c>
      <c r="N20" s="9">
        <f>RANK(F20,F10:F34,0)</f>
        <v>8</v>
      </c>
      <c r="O20" s="9">
        <f>RANK(F20,F10:F34,1)</f>
        <v>18</v>
      </c>
    </row>
    <row r="21" spans="2:15" x14ac:dyDescent="0.25">
      <c r="B21" s="12" t="s">
        <v>34</v>
      </c>
      <c r="C21" s="56">
        <v>3203</v>
      </c>
      <c r="D21" s="9">
        <v>2074</v>
      </c>
      <c r="E21" s="111">
        <f t="shared" si="0"/>
        <v>64.751795192007492</v>
      </c>
      <c r="F21" s="56">
        <v>3078</v>
      </c>
      <c r="G21" s="9">
        <v>1737</v>
      </c>
      <c r="H21" s="7">
        <f t="shared" si="1"/>
        <v>56.432748538011701</v>
      </c>
      <c r="I21" s="56">
        <f t="shared" si="2"/>
        <v>-125</v>
      </c>
      <c r="J21" s="112">
        <f t="shared" si="3"/>
        <v>-3.9025913206369029</v>
      </c>
      <c r="K21" s="9">
        <f t="shared" si="5"/>
        <v>-337</v>
      </c>
      <c r="L21" s="7">
        <f t="shared" si="4"/>
        <v>-16.248794599807137</v>
      </c>
      <c r="N21" s="9">
        <f>RANK(F21,F10:F34,0)</f>
        <v>5</v>
      </c>
      <c r="O21" s="9">
        <f>RANK(F21,F10:F34,1)</f>
        <v>21</v>
      </c>
    </row>
    <row r="22" spans="2:15" x14ac:dyDescent="0.25">
      <c r="B22" s="12" t="s">
        <v>35</v>
      </c>
      <c r="C22" s="56">
        <v>1948</v>
      </c>
      <c r="D22" s="9">
        <v>1075</v>
      </c>
      <c r="E22" s="111">
        <f t="shared" si="0"/>
        <v>55.184804928131413</v>
      </c>
      <c r="F22" s="56">
        <v>2044</v>
      </c>
      <c r="G22" s="9">
        <v>1056</v>
      </c>
      <c r="H22" s="7">
        <f t="shared" si="1"/>
        <v>51.663405088062618</v>
      </c>
      <c r="I22" s="56">
        <f t="shared" si="2"/>
        <v>96</v>
      </c>
      <c r="J22" s="112">
        <f t="shared" si="3"/>
        <v>4.9281314168377826</v>
      </c>
      <c r="K22" s="9">
        <f t="shared" si="5"/>
        <v>-19</v>
      </c>
      <c r="L22" s="7">
        <f t="shared" si="4"/>
        <v>-1.7674418604651163</v>
      </c>
      <c r="N22" s="9">
        <f>RANK(F22,F10:F34,0)</f>
        <v>14</v>
      </c>
      <c r="O22" s="9">
        <f>RANK(F22,F10:F34,1)</f>
        <v>12</v>
      </c>
    </row>
    <row r="23" spans="2:15" x14ac:dyDescent="0.25">
      <c r="B23" s="18" t="s">
        <v>36</v>
      </c>
      <c r="C23" s="56">
        <v>1805</v>
      </c>
      <c r="D23" s="9">
        <v>1091</v>
      </c>
      <c r="E23" s="111">
        <f t="shared" si="0"/>
        <v>60.443213296398888</v>
      </c>
      <c r="F23" s="56">
        <v>2153</v>
      </c>
      <c r="G23" s="9">
        <v>1092</v>
      </c>
      <c r="H23" s="7">
        <f t="shared" si="1"/>
        <v>50.719925685090573</v>
      </c>
      <c r="I23" s="56">
        <f t="shared" si="2"/>
        <v>348</v>
      </c>
      <c r="J23" s="112">
        <f t="shared" si="3"/>
        <v>19.279778393351801</v>
      </c>
      <c r="K23" s="9">
        <f t="shared" si="5"/>
        <v>1</v>
      </c>
      <c r="L23" s="7">
        <f t="shared" si="4"/>
        <v>9.1659028414298807E-2</v>
      </c>
      <c r="N23" s="9">
        <f>RANK(F23,F10:F34,0)</f>
        <v>11</v>
      </c>
      <c r="O23" s="9">
        <f>RANK(F23,F10:F34,1)</f>
        <v>15</v>
      </c>
    </row>
    <row r="24" spans="2:15" x14ac:dyDescent="0.25">
      <c r="B24" s="18" t="s">
        <v>37</v>
      </c>
      <c r="C24" s="56">
        <v>2455</v>
      </c>
      <c r="D24" s="9">
        <v>1575</v>
      </c>
      <c r="E24" s="111">
        <f t="shared" si="0"/>
        <v>64.154786150712823</v>
      </c>
      <c r="F24" s="56">
        <v>2559</v>
      </c>
      <c r="G24" s="9">
        <v>1487</v>
      </c>
      <c r="H24" s="7">
        <f t="shared" si="1"/>
        <v>58.108636186010166</v>
      </c>
      <c r="I24" s="56">
        <f t="shared" si="2"/>
        <v>104</v>
      </c>
      <c r="J24" s="112">
        <f t="shared" si="3"/>
        <v>4.236252545824847</v>
      </c>
      <c r="K24" s="9">
        <f t="shared" si="5"/>
        <v>-88</v>
      </c>
      <c r="L24" s="7">
        <f t="shared" si="4"/>
        <v>-5.587301587301587</v>
      </c>
      <c r="N24" s="9">
        <f>RANK(F24,F10:F34,0)</f>
        <v>6</v>
      </c>
      <c r="O24" s="9">
        <f>RANK(F24,F10:F34,1)</f>
        <v>20</v>
      </c>
    </row>
    <row r="25" spans="2:15" x14ac:dyDescent="0.25">
      <c r="B25" s="18" t="s">
        <v>38</v>
      </c>
      <c r="C25" s="56">
        <v>2042</v>
      </c>
      <c r="D25" s="9">
        <v>1340</v>
      </c>
      <c r="E25" s="111">
        <f t="shared" si="0"/>
        <v>65.62193927522037</v>
      </c>
      <c r="F25" s="56">
        <v>2004</v>
      </c>
      <c r="G25" s="9">
        <v>1276</v>
      </c>
      <c r="H25" s="7">
        <f t="shared" si="1"/>
        <v>63.672654690618756</v>
      </c>
      <c r="I25" s="56">
        <f t="shared" si="2"/>
        <v>-38</v>
      </c>
      <c r="J25" s="112">
        <f t="shared" si="3"/>
        <v>-1.8609206660137121</v>
      </c>
      <c r="K25" s="9">
        <f t="shared" si="5"/>
        <v>-64</v>
      </c>
      <c r="L25" s="7">
        <f t="shared" si="4"/>
        <v>-4.7761194029850751</v>
      </c>
      <c r="N25" s="9">
        <f>RANK(F25,F10:F34,0)</f>
        <v>15</v>
      </c>
      <c r="O25" s="9">
        <f>RANK(F25,F10:F34,1)</f>
        <v>11</v>
      </c>
    </row>
    <row r="26" spans="2:15" x14ac:dyDescent="0.25">
      <c r="B26" s="18" t="s">
        <v>39</v>
      </c>
      <c r="C26" s="56">
        <v>2969</v>
      </c>
      <c r="D26" s="9">
        <v>2115</v>
      </c>
      <c r="E26" s="111">
        <f t="shared" si="0"/>
        <v>71.236106433142481</v>
      </c>
      <c r="F26" s="56">
        <v>3256</v>
      </c>
      <c r="G26" s="9">
        <v>2079</v>
      </c>
      <c r="H26" s="7">
        <f t="shared" si="1"/>
        <v>63.851351351351347</v>
      </c>
      <c r="I26" s="56">
        <f t="shared" si="2"/>
        <v>287</v>
      </c>
      <c r="J26" s="112">
        <f t="shared" si="3"/>
        <v>9.6665543954193325</v>
      </c>
      <c r="K26" s="9">
        <f t="shared" si="5"/>
        <v>-36</v>
      </c>
      <c r="L26" s="7">
        <f t="shared" si="4"/>
        <v>-1.7021276595744681</v>
      </c>
      <c r="N26" s="9">
        <f>RANK(F26,F10:F34,0)</f>
        <v>4</v>
      </c>
      <c r="O26" s="9">
        <f>RANK(F26,F10:F34,1)</f>
        <v>22</v>
      </c>
    </row>
    <row r="27" spans="2:15" x14ac:dyDescent="0.25">
      <c r="B27" s="18" t="s">
        <v>40</v>
      </c>
      <c r="C27" s="56">
        <v>1760</v>
      </c>
      <c r="D27" s="9">
        <v>1115</v>
      </c>
      <c r="E27" s="111">
        <f t="shared" si="0"/>
        <v>63.352272727272727</v>
      </c>
      <c r="F27" s="56">
        <v>1773</v>
      </c>
      <c r="G27" s="9">
        <v>1096</v>
      </c>
      <c r="H27" s="7">
        <f t="shared" si="1"/>
        <v>61.816130851663843</v>
      </c>
      <c r="I27" s="56">
        <f t="shared" si="2"/>
        <v>13</v>
      </c>
      <c r="J27" s="112">
        <f t="shared" si="3"/>
        <v>0.73863636363636365</v>
      </c>
      <c r="K27" s="9">
        <f t="shared" si="5"/>
        <v>-19</v>
      </c>
      <c r="L27" s="7">
        <f t="shared" si="4"/>
        <v>-1.7040358744394617</v>
      </c>
      <c r="N27" s="9">
        <f>RANK(F27,F10:F34,0)</f>
        <v>16</v>
      </c>
      <c r="O27" s="9">
        <f>RANK(F27,F10:F34,1)</f>
        <v>10</v>
      </c>
    </row>
    <row r="28" spans="2:15" x14ac:dyDescent="0.25">
      <c r="B28" s="18" t="s">
        <v>41</v>
      </c>
      <c r="C28" s="56">
        <v>2208</v>
      </c>
      <c r="D28" s="9">
        <v>1311</v>
      </c>
      <c r="E28" s="111">
        <f t="shared" si="0"/>
        <v>59.375</v>
      </c>
      <c r="F28" s="56">
        <v>2192</v>
      </c>
      <c r="G28" s="9">
        <v>1181</v>
      </c>
      <c r="H28" s="7">
        <f t="shared" si="1"/>
        <v>53.877737226277368</v>
      </c>
      <c r="I28" s="56">
        <f t="shared" si="2"/>
        <v>-16</v>
      </c>
      <c r="J28" s="112">
        <f t="shared" si="3"/>
        <v>-0.72463768115942029</v>
      </c>
      <c r="K28" s="9">
        <f t="shared" si="5"/>
        <v>-130</v>
      </c>
      <c r="L28" s="7">
        <f t="shared" si="4"/>
        <v>-9.9160945842868031</v>
      </c>
      <c r="N28" s="9">
        <f>RANK(F28,F10:F34,0)</f>
        <v>10</v>
      </c>
      <c r="O28" s="9">
        <f>RANK(F28,F10:F34,1)</f>
        <v>16</v>
      </c>
    </row>
    <row r="29" spans="2:15" x14ac:dyDescent="0.25">
      <c r="B29" s="18" t="s">
        <v>42</v>
      </c>
      <c r="C29" s="56">
        <v>1946</v>
      </c>
      <c r="D29" s="9">
        <v>1237</v>
      </c>
      <c r="E29" s="111">
        <f t="shared" si="0"/>
        <v>63.566289825282631</v>
      </c>
      <c r="F29" s="56">
        <v>2110</v>
      </c>
      <c r="G29" s="9">
        <v>1255</v>
      </c>
      <c r="H29" s="7">
        <f t="shared" si="1"/>
        <v>59.478672985781991</v>
      </c>
      <c r="I29" s="56">
        <f t="shared" si="2"/>
        <v>164</v>
      </c>
      <c r="J29" s="112">
        <f t="shared" si="3"/>
        <v>8.4275436793422411</v>
      </c>
      <c r="K29" s="9">
        <f t="shared" si="5"/>
        <v>18</v>
      </c>
      <c r="L29" s="7">
        <f t="shared" si="4"/>
        <v>1.4551333872271623</v>
      </c>
      <c r="N29" s="9">
        <f>RANK(F29,F10:F34,0)</f>
        <v>12</v>
      </c>
      <c r="O29" s="9">
        <f>RANK(F29,F10:F34,1)</f>
        <v>14</v>
      </c>
    </row>
    <row r="30" spans="2:15" x14ac:dyDescent="0.25">
      <c r="B30" s="18" t="s">
        <v>43</v>
      </c>
      <c r="C30" s="56">
        <v>1058</v>
      </c>
      <c r="D30" s="9">
        <v>768</v>
      </c>
      <c r="E30" s="111">
        <f t="shared" si="0"/>
        <v>72.589792060491504</v>
      </c>
      <c r="F30" s="56">
        <v>1216</v>
      </c>
      <c r="G30" s="9">
        <v>788</v>
      </c>
      <c r="H30" s="7">
        <f t="shared" si="1"/>
        <v>64.80263157894737</v>
      </c>
      <c r="I30" s="56">
        <f t="shared" si="2"/>
        <v>158</v>
      </c>
      <c r="J30" s="112">
        <f t="shared" si="3"/>
        <v>14.933837429111533</v>
      </c>
      <c r="K30" s="9">
        <f t="shared" si="5"/>
        <v>20</v>
      </c>
      <c r="L30" s="7">
        <f t="shared" si="4"/>
        <v>2.604166666666667</v>
      </c>
      <c r="N30" s="9">
        <f>RANK(F30,F10:F34,0)</f>
        <v>21</v>
      </c>
      <c r="O30" s="9">
        <f>RANK(F30,F10:F34,1)</f>
        <v>5</v>
      </c>
    </row>
    <row r="31" spans="2:15" x14ac:dyDescent="0.25">
      <c r="B31" s="18" t="s">
        <v>293</v>
      </c>
      <c r="C31" s="56">
        <v>720</v>
      </c>
      <c r="D31" s="9">
        <v>369</v>
      </c>
      <c r="E31" s="111">
        <f t="shared" si="0"/>
        <v>51.249999999999993</v>
      </c>
      <c r="F31" s="56">
        <v>646</v>
      </c>
      <c r="G31" s="9">
        <v>326</v>
      </c>
      <c r="H31" s="7">
        <f t="shared" si="1"/>
        <v>50.464396284829725</v>
      </c>
      <c r="I31" s="56">
        <f t="shared" si="2"/>
        <v>-74</v>
      </c>
      <c r="J31" s="112">
        <f t="shared" si="3"/>
        <v>-10.277777777777777</v>
      </c>
      <c r="K31" s="9">
        <f t="shared" si="5"/>
        <v>-43</v>
      </c>
      <c r="L31" s="7">
        <f t="shared" si="4"/>
        <v>-11.653116531165312</v>
      </c>
      <c r="N31" s="9">
        <f>RANK(F31,F10:F34,0)</f>
        <v>25</v>
      </c>
      <c r="O31" s="9">
        <f>RANK(F31,F10:F34,1)</f>
        <v>1</v>
      </c>
    </row>
    <row r="32" spans="2:15" x14ac:dyDescent="0.25">
      <c r="B32" s="18" t="s">
        <v>294</v>
      </c>
      <c r="C32" s="56">
        <v>1266</v>
      </c>
      <c r="D32" s="9">
        <v>796</v>
      </c>
      <c r="E32" s="111">
        <f t="shared" si="0"/>
        <v>62.875197472353875</v>
      </c>
      <c r="F32" s="56">
        <v>1578</v>
      </c>
      <c r="G32" s="9">
        <v>809</v>
      </c>
      <c r="H32" s="7">
        <f t="shared" si="1"/>
        <v>51.267427122940433</v>
      </c>
      <c r="I32" s="56">
        <f t="shared" si="2"/>
        <v>312</v>
      </c>
      <c r="J32" s="112">
        <f t="shared" si="3"/>
        <v>24.644549763033176</v>
      </c>
      <c r="K32" s="9">
        <f t="shared" si="5"/>
        <v>13</v>
      </c>
      <c r="L32" s="7">
        <f t="shared" si="4"/>
        <v>1.6331658291457287</v>
      </c>
      <c r="N32" s="9">
        <f>RANK(F32,F10:F34,0)</f>
        <v>18</v>
      </c>
      <c r="O32" s="9">
        <f>RANK(F32,F10:F34,1)</f>
        <v>8</v>
      </c>
    </row>
    <row r="33" spans="2:15" x14ac:dyDescent="0.25">
      <c r="B33" s="18" t="s">
        <v>295</v>
      </c>
      <c r="C33" s="56">
        <v>3212</v>
      </c>
      <c r="D33" s="9">
        <v>2343</v>
      </c>
      <c r="E33" s="111">
        <f t="shared" si="0"/>
        <v>72.945205479452056</v>
      </c>
      <c r="F33" s="56">
        <v>3600</v>
      </c>
      <c r="G33" s="9">
        <v>2264</v>
      </c>
      <c r="H33" s="7">
        <f t="shared" si="1"/>
        <v>62.888888888888893</v>
      </c>
      <c r="I33" s="56">
        <f t="shared" si="2"/>
        <v>388</v>
      </c>
      <c r="J33" s="112">
        <f t="shared" si="3"/>
        <v>12.079701120797012</v>
      </c>
      <c r="K33" s="9">
        <f t="shared" si="5"/>
        <v>-79</v>
      </c>
      <c r="L33" s="7">
        <f t="shared" si="4"/>
        <v>-3.3717456252667519</v>
      </c>
      <c r="N33" s="9">
        <f>RANK(F33,F10:F34,0)</f>
        <v>2</v>
      </c>
      <c r="O33" s="9">
        <f>RANK(F33,F10:F34,1)</f>
        <v>24</v>
      </c>
    </row>
    <row r="34" spans="2:15" ht="15.75" thickBot="1" x14ac:dyDescent="0.3">
      <c r="B34" s="19" t="s">
        <v>296</v>
      </c>
      <c r="C34" s="3">
        <v>979</v>
      </c>
      <c r="D34" s="5">
        <v>646</v>
      </c>
      <c r="E34" s="113">
        <f t="shared" si="0"/>
        <v>65.985699693564854</v>
      </c>
      <c r="F34" s="3">
        <v>1129</v>
      </c>
      <c r="G34" s="5">
        <v>653</v>
      </c>
      <c r="H34" s="8">
        <f t="shared" si="1"/>
        <v>57.838795394154118</v>
      </c>
      <c r="I34" s="3">
        <f t="shared" si="2"/>
        <v>150</v>
      </c>
      <c r="J34" s="53">
        <f t="shared" si="3"/>
        <v>15.321756894790603</v>
      </c>
      <c r="K34" s="5">
        <f t="shared" si="5"/>
        <v>7</v>
      </c>
      <c r="L34" s="8">
        <f t="shared" si="4"/>
        <v>1.0835913312693499</v>
      </c>
      <c r="N34" s="5">
        <f>RANK(F34,F10:F34,0)</f>
        <v>22</v>
      </c>
      <c r="O34" s="5">
        <f>RANK(F34,F10:F34,1)</f>
        <v>4</v>
      </c>
    </row>
  </sheetData>
  <mergeCells count="11">
    <mergeCell ref="B5:B8"/>
    <mergeCell ref="C7:C8"/>
    <mergeCell ref="C5:L5"/>
    <mergeCell ref="F6:H6"/>
    <mergeCell ref="C6:E6"/>
    <mergeCell ref="I6:L6"/>
    <mergeCell ref="F7:F8"/>
    <mergeCell ref="G7:H7"/>
    <mergeCell ref="D7:E7"/>
    <mergeCell ref="I7:J7"/>
    <mergeCell ref="K7:L7"/>
  </mergeCells>
  <pageMargins left="1.299212598425197" right="0" top="0.6692913385826772" bottom="0" header="0" footer="0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2:L37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2.28515625" style="84" customWidth="1"/>
    <col min="2" max="2" width="36.7109375" style="84" customWidth="1"/>
    <col min="3" max="3" width="10.5703125" style="84" customWidth="1"/>
    <col min="4" max="4" width="10.7109375" style="84" customWidth="1"/>
    <col min="5" max="5" width="10.5703125" style="84" customWidth="1"/>
    <col min="6" max="6" width="10.28515625" style="84" customWidth="1"/>
    <col min="7" max="7" width="13.42578125" style="84" customWidth="1"/>
    <col min="8" max="8" width="9" style="84" customWidth="1"/>
    <col min="9" max="9" width="2.42578125" style="84" customWidth="1"/>
    <col min="10" max="10" width="5.140625" style="378" customWidth="1"/>
    <col min="11" max="11" width="24" style="84" customWidth="1"/>
    <col min="12" max="12" width="25.28515625" style="513" customWidth="1"/>
    <col min="13" max="16384" width="9.140625" style="84"/>
  </cols>
  <sheetData>
    <row r="2" spans="2:12" x14ac:dyDescent="0.25">
      <c r="B2" s="11" t="s">
        <v>268</v>
      </c>
      <c r="C2" s="11"/>
      <c r="D2" s="11"/>
      <c r="E2" s="11"/>
      <c r="F2" s="11"/>
      <c r="G2" s="11"/>
      <c r="H2" s="11"/>
      <c r="I2" s="11"/>
    </row>
    <row r="3" spans="2:12" x14ac:dyDescent="0.25">
      <c r="B3" s="11" t="s">
        <v>407</v>
      </c>
      <c r="C3" s="11"/>
      <c r="D3" s="11"/>
      <c r="E3" s="11"/>
      <c r="F3" s="11"/>
      <c r="G3" s="11"/>
      <c r="H3" s="11"/>
      <c r="I3" s="11"/>
    </row>
    <row r="4" spans="2:12" ht="9.75" customHeight="1" thickBot="1" x14ac:dyDescent="0.3">
      <c r="B4" s="11"/>
      <c r="C4" s="11"/>
      <c r="D4" s="11"/>
      <c r="E4" s="11"/>
      <c r="F4" s="11"/>
      <c r="G4" s="11"/>
      <c r="H4" s="11"/>
      <c r="I4" s="11"/>
    </row>
    <row r="5" spans="2:12" ht="24" customHeight="1" x14ac:dyDescent="0.25">
      <c r="B5" s="927" t="s">
        <v>161</v>
      </c>
      <c r="C5" s="943" t="s">
        <v>412</v>
      </c>
      <c r="D5" s="943"/>
      <c r="E5" s="941" t="s">
        <v>474</v>
      </c>
      <c r="F5" s="942"/>
      <c r="G5" s="944" t="s">
        <v>163</v>
      </c>
      <c r="H5" s="945" t="s">
        <v>484</v>
      </c>
      <c r="I5" s="551"/>
    </row>
    <row r="6" spans="2:12" ht="30.75" thickBot="1" x14ac:dyDescent="0.3">
      <c r="B6" s="940"/>
      <c r="C6" s="26" t="s">
        <v>4</v>
      </c>
      <c r="D6" s="26" t="s">
        <v>103</v>
      </c>
      <c r="E6" s="25" t="s">
        <v>4</v>
      </c>
      <c r="F6" s="462" t="s">
        <v>103</v>
      </c>
      <c r="G6" s="911"/>
      <c r="H6" s="913"/>
      <c r="I6" s="551"/>
    </row>
    <row r="7" spans="2:12" ht="39.75" customHeight="1" thickBot="1" x14ac:dyDescent="0.3">
      <c r="B7" s="234" t="s">
        <v>330</v>
      </c>
      <c r="C7" s="179">
        <f>SUM(C12:C36)</f>
        <v>11174</v>
      </c>
      <c r="D7" s="179">
        <f>SUM(D12:D36)</f>
        <v>6178</v>
      </c>
      <c r="E7" s="49">
        <f>SUM(E12:E36)</f>
        <v>9704</v>
      </c>
      <c r="F7" s="51">
        <f>SUM(F12:F36)</f>
        <v>5321</v>
      </c>
      <c r="G7" s="181">
        <f>SUM(E7-C7)</f>
        <v>-1470</v>
      </c>
      <c r="H7" s="50">
        <f>(E7-C7)*100/C7</f>
        <v>-13.15553964560587</v>
      </c>
      <c r="I7" s="574"/>
      <c r="K7" s="382"/>
    </row>
    <row r="8" spans="2:12" ht="24.75" customHeight="1" x14ac:dyDescent="0.25">
      <c r="B8" s="125" t="s">
        <v>159</v>
      </c>
      <c r="C8" s="115">
        <v>11096</v>
      </c>
      <c r="D8" s="115">
        <v>6129</v>
      </c>
      <c r="E8" s="36">
        <v>10345</v>
      </c>
      <c r="F8" s="463">
        <v>5454</v>
      </c>
      <c r="G8" s="114">
        <f>SUM(E8-C8)</f>
        <v>-751</v>
      </c>
      <c r="H8" s="37">
        <f>(E8-C8)*100/C8</f>
        <v>-6.768204758471521</v>
      </c>
      <c r="I8" s="575"/>
      <c r="K8" s="378"/>
      <c r="L8" s="579"/>
    </row>
    <row r="9" spans="2:12" ht="35.25" customHeight="1" x14ac:dyDescent="0.25">
      <c r="B9" s="126" t="s">
        <v>158</v>
      </c>
      <c r="C9" s="27">
        <v>1762</v>
      </c>
      <c r="D9" s="27">
        <v>907</v>
      </c>
      <c r="E9" s="709">
        <v>1341</v>
      </c>
      <c r="F9" s="710">
        <v>740</v>
      </c>
      <c r="G9" s="127">
        <f>SUM(E9-C9)</f>
        <v>-421</v>
      </c>
      <c r="H9" s="128">
        <f>(E9-C9)*100/C9</f>
        <v>-23.893303064699204</v>
      </c>
      <c r="I9" s="575"/>
      <c r="K9" s="378"/>
      <c r="L9" s="579"/>
    </row>
    <row r="10" spans="2:12" ht="28.5" customHeight="1" thickBot="1" x14ac:dyDescent="0.3">
      <c r="B10" s="711" t="s">
        <v>530</v>
      </c>
      <c r="C10" s="21">
        <v>78</v>
      </c>
      <c r="D10" s="21">
        <v>49</v>
      </c>
      <c r="E10" s="20">
        <v>76</v>
      </c>
      <c r="F10" s="336">
        <v>54</v>
      </c>
      <c r="G10" s="95">
        <f>SUM(E10-C10)</f>
        <v>-2</v>
      </c>
      <c r="H10" s="32">
        <f>(E10-C10)*100/C10</f>
        <v>-2.5641025641025643</v>
      </c>
      <c r="I10" s="575"/>
      <c r="K10" s="378"/>
      <c r="L10" s="579"/>
    </row>
    <row r="11" spans="2:12" ht="28.5" customHeight="1" thickBot="1" x14ac:dyDescent="0.3">
      <c r="B11" s="937" t="s">
        <v>162</v>
      </c>
      <c r="C11" s="938"/>
      <c r="D11" s="938"/>
      <c r="E11" s="938"/>
      <c r="F11" s="938"/>
      <c r="G11" s="938"/>
      <c r="H11" s="939"/>
      <c r="I11" s="576"/>
    </row>
    <row r="12" spans="2:12" ht="15.75" customHeight="1" x14ac:dyDescent="0.25">
      <c r="B12" s="59" t="s">
        <v>23</v>
      </c>
      <c r="C12" s="115">
        <v>141</v>
      </c>
      <c r="D12" s="115">
        <v>85</v>
      </c>
      <c r="E12" s="42">
        <v>153</v>
      </c>
      <c r="F12" s="334">
        <v>75</v>
      </c>
      <c r="G12" s="114">
        <f t="shared" ref="G12:G36" si="0">SUM(E12-C12)</f>
        <v>12</v>
      </c>
      <c r="H12" s="580">
        <f t="shared" ref="H12:H36" si="1">(E12-C12)*100/C12</f>
        <v>8.5106382978723403</v>
      </c>
      <c r="I12" s="577"/>
      <c r="J12" s="578">
        <f>RANK(H12,$H$12:$H$36,1)+COUNTIF($H$12:H12,H12)-1</f>
        <v>25</v>
      </c>
      <c r="K12" s="84" t="str">
        <f>INDEX(B12:H36,MATCH(1,J12:J36,0),1)</f>
        <v>Krosno</v>
      </c>
      <c r="L12" s="579">
        <f>INDEX(B12:H36,MATCH(1,J12:J36,0),7)</f>
        <v>-32.307692307692307</v>
      </c>
    </row>
    <row r="13" spans="2:12" x14ac:dyDescent="0.25">
      <c r="B13" s="12" t="s">
        <v>24</v>
      </c>
      <c r="C13" s="14">
        <v>676</v>
      </c>
      <c r="D13" s="14">
        <v>354</v>
      </c>
      <c r="E13" s="13">
        <v>634</v>
      </c>
      <c r="F13" s="335">
        <v>317</v>
      </c>
      <c r="G13" s="94">
        <f t="shared" si="0"/>
        <v>-42</v>
      </c>
      <c r="H13" s="116">
        <f t="shared" si="1"/>
        <v>-6.2130177514792901</v>
      </c>
      <c r="I13" s="577"/>
      <c r="J13" s="578">
        <f>RANK(H13,$H$12:$H$36,1)+COUNTIF($H$13:H13,H13)-1</f>
        <v>19</v>
      </c>
      <c r="K13" s="84" t="str">
        <f>INDEX(B12:H36,MATCH(2,J12:J36,0),1)</f>
        <v>mielecki</v>
      </c>
      <c r="L13" s="579">
        <f>INDEX(B12:H36,MATCH(2,J12:J36,0),7)</f>
        <v>-27.977315689981097</v>
      </c>
    </row>
    <row r="14" spans="2:12" x14ac:dyDescent="0.25">
      <c r="B14" s="12" t="s">
        <v>25</v>
      </c>
      <c r="C14" s="14">
        <v>393</v>
      </c>
      <c r="D14" s="14">
        <v>247</v>
      </c>
      <c r="E14" s="13">
        <v>348</v>
      </c>
      <c r="F14" s="335">
        <v>226</v>
      </c>
      <c r="G14" s="94">
        <f t="shared" si="0"/>
        <v>-45</v>
      </c>
      <c r="H14" s="116">
        <f t="shared" si="1"/>
        <v>-11.450381679389313</v>
      </c>
      <c r="I14" s="577"/>
      <c r="J14" s="578">
        <f>RANK(H14,$H$12:$H$36,1)+COUNTIF($H$14:H14,H14)-1</f>
        <v>14</v>
      </c>
      <c r="K14" s="84" t="str">
        <f>INDEX(B12:H36,MATCH(3,J12:J36,0),1)</f>
        <v>Rzeszów</v>
      </c>
      <c r="L14" s="579">
        <f>INDEX(B12:H36,MATCH(3,J12:J36,0),7)</f>
        <v>-26.322930800542739</v>
      </c>
    </row>
    <row r="15" spans="2:12" x14ac:dyDescent="0.25">
      <c r="B15" s="12" t="s">
        <v>26</v>
      </c>
      <c r="C15" s="14">
        <v>871</v>
      </c>
      <c r="D15" s="14">
        <v>512</v>
      </c>
      <c r="E15" s="13">
        <v>733</v>
      </c>
      <c r="F15" s="335">
        <v>419</v>
      </c>
      <c r="G15" s="94">
        <f t="shared" si="0"/>
        <v>-138</v>
      </c>
      <c r="H15" s="116">
        <f t="shared" si="1"/>
        <v>-15.843857634902411</v>
      </c>
      <c r="I15" s="577"/>
      <c r="J15" s="578">
        <f>RANK(H15,$H$12:$H$36,1)+COUNTIF($H$15:H15,H15)-1</f>
        <v>8</v>
      </c>
      <c r="K15" s="84" t="str">
        <f>INDEX(B12:H36,MATCH(4,J12:J36,0),1)</f>
        <v>krośnieński</v>
      </c>
      <c r="L15" s="579">
        <f>INDEX(B12:H36,MATCH(4,J12:J36,0),7)</f>
        <v>-24.848484848484848</v>
      </c>
    </row>
    <row r="16" spans="2:12" x14ac:dyDescent="0.25">
      <c r="B16" s="12" t="s">
        <v>27</v>
      </c>
      <c r="C16" s="14">
        <v>654</v>
      </c>
      <c r="D16" s="14">
        <v>333</v>
      </c>
      <c r="E16" s="13">
        <v>594</v>
      </c>
      <c r="F16" s="335">
        <v>323</v>
      </c>
      <c r="G16" s="94">
        <f>SUM(E16-C16)</f>
        <v>-60</v>
      </c>
      <c r="H16" s="116">
        <f t="shared" si="1"/>
        <v>-9.1743119266055047</v>
      </c>
      <c r="I16" s="577"/>
      <c r="J16" s="578">
        <f>RANK(H16,$H$12:$H$36,1)+COUNTIF($H$16:H16,H16)-1</f>
        <v>17</v>
      </c>
      <c r="K16" s="84" t="str">
        <f>INDEX(B12:H36,MATCH(5,J12:J36,0),1)</f>
        <v>Przemyśl</v>
      </c>
      <c r="L16" s="579">
        <f>INDEX(B12:H36,MATCH(5,J12:J36,0),7)</f>
        <v>-20.833333333333332</v>
      </c>
    </row>
    <row r="17" spans="2:12" x14ac:dyDescent="0.25">
      <c r="B17" s="12" t="s">
        <v>28</v>
      </c>
      <c r="C17" s="14">
        <v>243</v>
      </c>
      <c r="D17" s="14">
        <v>139</v>
      </c>
      <c r="E17" s="13">
        <v>237</v>
      </c>
      <c r="F17" s="335">
        <v>137</v>
      </c>
      <c r="G17" s="94">
        <f>SUM(E17-C17)</f>
        <v>-6</v>
      </c>
      <c r="H17" s="116">
        <f t="shared" si="1"/>
        <v>-2.4691358024691357</v>
      </c>
      <c r="I17" s="577"/>
      <c r="J17" s="578">
        <f>RANK(H17,$H$12:$H$36,1)+COUNTIF($H$17:H17,H17)-1</f>
        <v>20</v>
      </c>
      <c r="K17" s="84" t="str">
        <f>INDEX(B12:H36,MATCH(6,J12:J36,0),1)</f>
        <v>ropczycko-sędziszowski</v>
      </c>
      <c r="L17" s="579">
        <f>INDEX(B12:H36,MATCH(6,J12:J36,0),7)</f>
        <v>-20.444444444444443</v>
      </c>
    </row>
    <row r="18" spans="2:12" x14ac:dyDescent="0.25">
      <c r="B18" s="12" t="s">
        <v>29</v>
      </c>
      <c r="C18" s="14">
        <v>330</v>
      </c>
      <c r="D18" s="14">
        <v>205</v>
      </c>
      <c r="E18" s="13">
        <v>248</v>
      </c>
      <c r="F18" s="335">
        <v>149</v>
      </c>
      <c r="G18" s="94">
        <f t="shared" si="0"/>
        <v>-82</v>
      </c>
      <c r="H18" s="116">
        <f t="shared" si="1"/>
        <v>-24.848484848484848</v>
      </c>
      <c r="I18" s="577"/>
      <c r="J18" s="578">
        <f>RANK(H18,$H$12:$H$36,1)+COUNTIF($H$18:H18,H18)-1</f>
        <v>4</v>
      </c>
      <c r="K18" s="84" t="str">
        <f>INDEX(B12:H36,MATCH(7,J12:J36,0),1)</f>
        <v>rzeszowski</v>
      </c>
      <c r="L18" s="579">
        <f>INDEX(B12:H36,MATCH(7,J12:J36,0),7)</f>
        <v>-16.615384615384617</v>
      </c>
    </row>
    <row r="19" spans="2:12" x14ac:dyDescent="0.25">
      <c r="B19" s="12" t="s">
        <v>30</v>
      </c>
      <c r="C19" s="14">
        <v>223</v>
      </c>
      <c r="D19" s="14">
        <v>123</v>
      </c>
      <c r="E19" s="13">
        <v>221</v>
      </c>
      <c r="F19" s="335">
        <v>107</v>
      </c>
      <c r="G19" s="94">
        <f t="shared" si="0"/>
        <v>-2</v>
      </c>
      <c r="H19" s="116">
        <f t="shared" si="1"/>
        <v>-0.89686098654708524</v>
      </c>
      <c r="I19" s="577"/>
      <c r="J19" s="578">
        <f>RANK(H19,$H$12:$H$36,1)+COUNTIF($H$19:H19,H19)-1</f>
        <v>22</v>
      </c>
      <c r="K19" s="84" t="str">
        <f>INDEX(B12:H36,MATCH(8,J12:J36,0),1)</f>
        <v>jarosławski</v>
      </c>
      <c r="L19" s="579">
        <f>INDEX(B12:H36,MATCH(8,J12:J36,0),7)</f>
        <v>-15.843857634902411</v>
      </c>
    </row>
    <row r="20" spans="2:12" x14ac:dyDescent="0.25">
      <c r="B20" s="12" t="s">
        <v>31</v>
      </c>
      <c r="C20" s="14">
        <v>556</v>
      </c>
      <c r="D20" s="14">
        <v>298</v>
      </c>
      <c r="E20" s="13">
        <v>482</v>
      </c>
      <c r="F20" s="335">
        <v>242</v>
      </c>
      <c r="G20" s="94">
        <f t="shared" si="0"/>
        <v>-74</v>
      </c>
      <c r="H20" s="116">
        <f t="shared" si="1"/>
        <v>-13.309352517985612</v>
      </c>
      <c r="I20" s="577"/>
      <c r="J20" s="578">
        <f>RANK(H20,$H$12:$H$36,1)+COUNTIF($H$20:H20,H20)-1</f>
        <v>10</v>
      </c>
      <c r="K20" s="84" t="str">
        <f>INDEX(B12:H36,MATCH(9,J12:J36,0),1)</f>
        <v>przemyski</v>
      </c>
      <c r="L20" s="579">
        <f>INDEX(B12:H36,MATCH(9,J12:J36,0),7)</f>
        <v>-15.428571428571429</v>
      </c>
    </row>
    <row r="21" spans="2:12" x14ac:dyDescent="0.25">
      <c r="B21" s="12" t="s">
        <v>32</v>
      </c>
      <c r="C21" s="14">
        <v>203</v>
      </c>
      <c r="D21" s="14">
        <v>97</v>
      </c>
      <c r="E21" s="13">
        <v>182</v>
      </c>
      <c r="F21" s="335">
        <v>68</v>
      </c>
      <c r="G21" s="94">
        <f t="shared" si="0"/>
        <v>-21</v>
      </c>
      <c r="H21" s="116">
        <f t="shared" si="1"/>
        <v>-10.344827586206897</v>
      </c>
      <c r="I21" s="577"/>
      <c r="J21" s="578">
        <f>RANK(H21,$H$12:$H$36,1)+COUNTIF($H$21:H21,H21)-1</f>
        <v>16</v>
      </c>
      <c r="K21" s="84" t="str">
        <f>INDEX(B12:H36,MATCH(10,J12:J36,0),1)</f>
        <v>leżajski</v>
      </c>
      <c r="L21" s="579">
        <f>INDEX(B12:H36,MATCH(10,J12:J36,0),7)</f>
        <v>-13.309352517985612</v>
      </c>
    </row>
    <row r="22" spans="2:12" x14ac:dyDescent="0.25">
      <c r="B22" s="12" t="s">
        <v>33</v>
      </c>
      <c r="C22" s="14">
        <v>618</v>
      </c>
      <c r="D22" s="14">
        <v>337</v>
      </c>
      <c r="E22" s="13">
        <v>562</v>
      </c>
      <c r="F22" s="335">
        <v>319</v>
      </c>
      <c r="G22" s="94">
        <f t="shared" si="0"/>
        <v>-56</v>
      </c>
      <c r="H22" s="116">
        <f t="shared" si="1"/>
        <v>-9.0614886731391593</v>
      </c>
      <c r="I22" s="577"/>
      <c r="J22" s="578">
        <f>RANK(H22,$H$12:$H$36,1)+COUNTIF($H$22:H22,H22)-1</f>
        <v>18</v>
      </c>
      <c r="K22" s="84" t="str">
        <f>INDEX(B12:H36,MATCH(11,J12:J36,0),1)</f>
        <v>stalowowolski</v>
      </c>
      <c r="L22" s="579">
        <f>INDEX(B12:H36,MATCH(11,J12:J36,0),7)</f>
        <v>-13.119533527696793</v>
      </c>
    </row>
    <row r="23" spans="2:12" x14ac:dyDescent="0.25">
      <c r="B23" s="12" t="s">
        <v>34</v>
      </c>
      <c r="C23" s="14">
        <v>529</v>
      </c>
      <c r="D23" s="14">
        <v>315</v>
      </c>
      <c r="E23" s="13">
        <v>381</v>
      </c>
      <c r="F23" s="335">
        <v>219</v>
      </c>
      <c r="G23" s="94">
        <f t="shared" si="0"/>
        <v>-148</v>
      </c>
      <c r="H23" s="116">
        <f t="shared" si="1"/>
        <v>-27.977315689981097</v>
      </c>
      <c r="I23" s="577"/>
      <c r="J23" s="578">
        <f>RANK(H23,$H$12:$H$36,1)+COUNTIF($H$23:H23,H23)-1</f>
        <v>2</v>
      </c>
      <c r="K23" s="84" t="str">
        <f>INDEX(B12:H36,MATCH(12,J12:J36,0),1)</f>
        <v>przeworski</v>
      </c>
      <c r="L23" s="579">
        <f>INDEX(B12:H36,MATCH(12,J12:J36,0),7)</f>
        <v>-11.908931698774081</v>
      </c>
    </row>
    <row r="24" spans="2:12" x14ac:dyDescent="0.25">
      <c r="B24" s="12" t="s">
        <v>35</v>
      </c>
      <c r="C24" s="14">
        <v>582</v>
      </c>
      <c r="D24" s="14">
        <v>300</v>
      </c>
      <c r="E24" s="13">
        <v>576</v>
      </c>
      <c r="F24" s="335">
        <v>300</v>
      </c>
      <c r="G24" s="94">
        <f t="shared" si="0"/>
        <v>-6</v>
      </c>
      <c r="H24" s="116">
        <f t="shared" si="1"/>
        <v>-1.0309278350515463</v>
      </c>
      <c r="I24" s="577"/>
      <c r="J24" s="578">
        <f>RANK(H24,$H$12:$H$36,1)+COUNTIF($H$24:H24,H24)-1</f>
        <v>21</v>
      </c>
      <c r="K24" s="84" t="str">
        <f>INDEX(B12:H36,MATCH(13,J12:J36,0),1)</f>
        <v>tarnobrzeski</v>
      </c>
      <c r="L24" s="579">
        <f>INDEX(B12:H36,MATCH(13,J12:J36,0),7)</f>
        <v>-11.702127659574469</v>
      </c>
    </row>
    <row r="25" spans="2:12" x14ac:dyDescent="0.25">
      <c r="B25" s="18" t="s">
        <v>36</v>
      </c>
      <c r="C25" s="118">
        <v>525</v>
      </c>
      <c r="D25" s="118">
        <v>274</v>
      </c>
      <c r="E25" s="117">
        <v>444</v>
      </c>
      <c r="F25" s="464">
        <v>243</v>
      </c>
      <c r="G25" s="94">
        <f t="shared" si="0"/>
        <v>-81</v>
      </c>
      <c r="H25" s="116">
        <f t="shared" si="1"/>
        <v>-15.428571428571429</v>
      </c>
      <c r="I25" s="577"/>
      <c r="J25" s="578">
        <f>RANK(H25,$H$12:$H$36,1)+COUNTIF($H$25:H25,H25)-1</f>
        <v>9</v>
      </c>
      <c r="K25" s="84" t="str">
        <f>INDEX(B12:H36,MATCH(14,J12:J36,0),1)</f>
        <v>dębicki</v>
      </c>
      <c r="L25" s="579">
        <f>INDEX(B12:H36,MATCH(14,J12:J36,0),7)</f>
        <v>-11.450381679389313</v>
      </c>
    </row>
    <row r="26" spans="2:12" x14ac:dyDescent="0.25">
      <c r="B26" s="18" t="s">
        <v>37</v>
      </c>
      <c r="C26" s="118">
        <v>571</v>
      </c>
      <c r="D26" s="118">
        <v>354</v>
      </c>
      <c r="E26" s="117">
        <v>503</v>
      </c>
      <c r="F26" s="464">
        <v>303</v>
      </c>
      <c r="G26" s="94">
        <f t="shared" si="0"/>
        <v>-68</v>
      </c>
      <c r="H26" s="116">
        <f t="shared" si="1"/>
        <v>-11.908931698774081</v>
      </c>
      <c r="I26" s="577"/>
      <c r="J26" s="578">
        <f>RANK(H26,$H$12:$H$36,1)+COUNTIF($H$26:H26,H26)-1</f>
        <v>12</v>
      </c>
      <c r="K26" s="84" t="str">
        <f>INDEX(B12:H36,MATCH(15,J12:J36,0),1)</f>
        <v>strzyżowski</v>
      </c>
      <c r="L26" s="579">
        <f>INDEX(B12:H36,MATCH(15,J12:J36,0),7)</f>
        <v>-10.606060606060606</v>
      </c>
    </row>
    <row r="27" spans="2:12" x14ac:dyDescent="0.25">
      <c r="B27" s="18" t="s">
        <v>38</v>
      </c>
      <c r="C27" s="118">
        <v>675</v>
      </c>
      <c r="D27" s="118">
        <v>385</v>
      </c>
      <c r="E27" s="117">
        <v>537</v>
      </c>
      <c r="F27" s="464">
        <v>318</v>
      </c>
      <c r="G27" s="94">
        <f t="shared" si="0"/>
        <v>-138</v>
      </c>
      <c r="H27" s="116">
        <f t="shared" si="1"/>
        <v>-20.444444444444443</v>
      </c>
      <c r="I27" s="577"/>
      <c r="J27" s="578">
        <f>RANK(H27,$H$12:$H$36,1)+COUNTIF($H$27:H27,H27)-1</f>
        <v>6</v>
      </c>
      <c r="K27" s="84" t="str">
        <f>INDEX(B12:H36,MATCH(16,J12:J36,0),1)</f>
        <v>lubaczowski</v>
      </c>
      <c r="L27" s="579">
        <f>INDEX(B12:H36,MATCH(16,J12:J36,0),7)</f>
        <v>-10.344827586206897</v>
      </c>
    </row>
    <row r="28" spans="2:12" x14ac:dyDescent="0.25">
      <c r="B28" s="18" t="s">
        <v>39</v>
      </c>
      <c r="C28" s="118">
        <v>650</v>
      </c>
      <c r="D28" s="118">
        <v>350</v>
      </c>
      <c r="E28" s="117">
        <v>542</v>
      </c>
      <c r="F28" s="464">
        <v>290</v>
      </c>
      <c r="G28" s="94">
        <f t="shared" si="0"/>
        <v>-108</v>
      </c>
      <c r="H28" s="116">
        <f t="shared" si="1"/>
        <v>-16.615384615384617</v>
      </c>
      <c r="I28" s="577"/>
      <c r="J28" s="578">
        <f>RANK(H28,$H$12:$H$36,1)+COUNTIF($H$28:H28,H28)-1</f>
        <v>7</v>
      </c>
      <c r="K28" s="84" t="str">
        <f>INDEX(B12:H36,MATCH(17,J12:J36,0),1)</f>
        <v>jasielski</v>
      </c>
      <c r="L28" s="579">
        <f>INDEX(B12:H36,MATCH(17,J12:J36,0),7)</f>
        <v>-9.1743119266055047</v>
      </c>
    </row>
    <row r="29" spans="2:12" x14ac:dyDescent="0.25">
      <c r="B29" s="18" t="s">
        <v>40</v>
      </c>
      <c r="C29" s="118">
        <v>289</v>
      </c>
      <c r="D29" s="118">
        <v>160</v>
      </c>
      <c r="E29" s="117">
        <v>298</v>
      </c>
      <c r="F29" s="464">
        <v>148</v>
      </c>
      <c r="G29" s="94">
        <f t="shared" si="0"/>
        <v>9</v>
      </c>
      <c r="H29" s="116">
        <f t="shared" si="1"/>
        <v>3.1141868512110729</v>
      </c>
      <c r="I29" s="577"/>
      <c r="J29" s="578">
        <f>RANK(H29,$H$12:$H$36,1)+COUNTIF($H$29:H29,H29)-1</f>
        <v>23</v>
      </c>
      <c r="K29" s="84" t="str">
        <f>INDEX(B12:H36,MATCH(18,J12:J36,0),1)</f>
        <v>łańcucki</v>
      </c>
      <c r="L29" s="579">
        <f>INDEX(B12:H36,MATCH(18,J12:J36,0),7)</f>
        <v>-9.0614886731391593</v>
      </c>
    </row>
    <row r="30" spans="2:12" x14ac:dyDescent="0.25">
      <c r="B30" s="18" t="s">
        <v>41</v>
      </c>
      <c r="C30" s="118">
        <v>343</v>
      </c>
      <c r="D30" s="118">
        <v>188</v>
      </c>
      <c r="E30" s="117">
        <v>298</v>
      </c>
      <c r="F30" s="464">
        <v>174</v>
      </c>
      <c r="G30" s="94">
        <f t="shared" si="0"/>
        <v>-45</v>
      </c>
      <c r="H30" s="116">
        <f t="shared" si="1"/>
        <v>-13.119533527696793</v>
      </c>
      <c r="I30" s="577"/>
      <c r="J30" s="578">
        <f>RANK(H30,$H$12:$H$36,1)+COUNTIF($H$30:H30,H30)-1</f>
        <v>11</v>
      </c>
      <c r="K30" s="84" t="str">
        <f>INDEX(B12:H36,MATCH(19,J12:J36,0),1)</f>
        <v>brzozowski</v>
      </c>
      <c r="L30" s="579">
        <f>INDEX(B12:H36,MATCH(19,J12:J36,0),7)</f>
        <v>-6.2130177514792901</v>
      </c>
    </row>
    <row r="31" spans="2:12" x14ac:dyDescent="0.25">
      <c r="B31" s="18" t="s">
        <v>42</v>
      </c>
      <c r="C31" s="118">
        <v>528</v>
      </c>
      <c r="D31" s="118">
        <v>263</v>
      </c>
      <c r="E31" s="117">
        <v>472</v>
      </c>
      <c r="F31" s="464">
        <v>239</v>
      </c>
      <c r="G31" s="94">
        <f t="shared" si="0"/>
        <v>-56</v>
      </c>
      <c r="H31" s="116">
        <f t="shared" si="1"/>
        <v>-10.606060606060606</v>
      </c>
      <c r="I31" s="577"/>
      <c r="J31" s="578">
        <f>RANK(H31,$H$12:$H$36,1)+COUNTIF($H$31:H31,H31)-1</f>
        <v>15</v>
      </c>
      <c r="K31" s="84" t="str">
        <f>INDEX(B12:H36,MATCH(20,J12:J36,0),1)</f>
        <v>kolbuszowski</v>
      </c>
      <c r="L31" s="579">
        <f>INDEX(B12:H36,MATCH(20,J12:J36,0),7)</f>
        <v>-2.4691358024691357</v>
      </c>
    </row>
    <row r="32" spans="2:12" x14ac:dyDescent="0.25">
      <c r="B32" s="18" t="s">
        <v>43</v>
      </c>
      <c r="C32" s="118">
        <v>188</v>
      </c>
      <c r="D32" s="118">
        <v>95</v>
      </c>
      <c r="E32" s="117">
        <v>166</v>
      </c>
      <c r="F32" s="464">
        <v>93</v>
      </c>
      <c r="G32" s="94">
        <f t="shared" si="0"/>
        <v>-22</v>
      </c>
      <c r="H32" s="116">
        <f t="shared" si="1"/>
        <v>-11.702127659574469</v>
      </c>
      <c r="I32" s="577"/>
      <c r="J32" s="578">
        <f>RANK(H32,$H$12:$H$36,1)+COUNTIF($H$32:H32,H32)-1</f>
        <v>13</v>
      </c>
      <c r="K32" s="84" t="str">
        <f>INDEX(B12:H36,MATCH(21,J12:J36,0),1)</f>
        <v>niżański</v>
      </c>
      <c r="L32" s="579">
        <f>INDEX(B12:H36,MATCH(21,J12:J36,0),7)</f>
        <v>-1.0309278350515463</v>
      </c>
    </row>
    <row r="33" spans="2:12" x14ac:dyDescent="0.25">
      <c r="B33" s="18" t="s">
        <v>44</v>
      </c>
      <c r="C33" s="118">
        <v>130</v>
      </c>
      <c r="D33" s="118">
        <v>63</v>
      </c>
      <c r="E33" s="117">
        <v>88</v>
      </c>
      <c r="F33" s="464">
        <v>59</v>
      </c>
      <c r="G33" s="94">
        <f t="shared" si="0"/>
        <v>-42</v>
      </c>
      <c r="H33" s="116">
        <f t="shared" si="1"/>
        <v>-32.307692307692307</v>
      </c>
      <c r="I33" s="577"/>
      <c r="J33" s="578">
        <f>RANK(H33,$H$12:$H$36,1)+COUNTIF($H$33:H33,H33)-1</f>
        <v>1</v>
      </c>
      <c r="K33" s="84" t="str">
        <f>INDEX(B12:H36,MATCH(22,J12:J36,0),1)</f>
        <v>leski</v>
      </c>
      <c r="L33" s="579">
        <f>INDEX(B12:H36,MATCH(22,J12:J36,0),7)</f>
        <v>-0.89686098654708524</v>
      </c>
    </row>
    <row r="34" spans="2:12" x14ac:dyDescent="0.25">
      <c r="B34" s="18" t="s">
        <v>45</v>
      </c>
      <c r="C34" s="118">
        <v>336</v>
      </c>
      <c r="D34" s="118">
        <v>185</v>
      </c>
      <c r="E34" s="117">
        <v>266</v>
      </c>
      <c r="F34" s="464">
        <v>141</v>
      </c>
      <c r="G34" s="94">
        <f t="shared" si="0"/>
        <v>-70</v>
      </c>
      <c r="H34" s="116">
        <f>(E34-C34)*100/C34</f>
        <v>-20.833333333333332</v>
      </c>
      <c r="I34" s="577"/>
      <c r="J34" s="578">
        <f>RANK(H34,$H$12:$H$36,1)+COUNTIF($H$34:H34,H34)-1</f>
        <v>5</v>
      </c>
      <c r="K34" s="84" t="str">
        <f>INDEX(B12:H36,MATCH(23,J12:J36,0),1)</f>
        <v>sanocki</v>
      </c>
      <c r="L34" s="579">
        <f>INDEX(B12:H36,MATCH(23,J12:J36,0),7)</f>
        <v>3.1141868512110729</v>
      </c>
    </row>
    <row r="35" spans="2:12" x14ac:dyDescent="0.25">
      <c r="B35" s="18" t="s">
        <v>46</v>
      </c>
      <c r="C35" s="118">
        <v>737</v>
      </c>
      <c r="D35" s="118">
        <v>411</v>
      </c>
      <c r="E35" s="117">
        <v>543</v>
      </c>
      <c r="F35" s="464">
        <v>303</v>
      </c>
      <c r="G35" s="94">
        <f t="shared" si="0"/>
        <v>-194</v>
      </c>
      <c r="H35" s="116">
        <f t="shared" si="1"/>
        <v>-26.322930800542739</v>
      </c>
      <c r="I35" s="577"/>
      <c r="J35" s="578">
        <f>RANK(H35,$H$12:$H$36,1)+COUNTIF($H$35:H35,H35)-1</f>
        <v>3</v>
      </c>
      <c r="K35" s="84" t="str">
        <f>INDEX(B12:H36,MATCH(24,J12:J36,0),1)</f>
        <v>Tarnobrzeg</v>
      </c>
      <c r="L35" s="579">
        <f>INDEX(B12:H36,MATCH(24,J12:J36,0),7)</f>
        <v>7.1038251366120218</v>
      </c>
    </row>
    <row r="36" spans="2:12" ht="15.75" thickBot="1" x14ac:dyDescent="0.3">
      <c r="B36" s="19" t="s">
        <v>47</v>
      </c>
      <c r="C36" s="121">
        <v>183</v>
      </c>
      <c r="D36" s="121">
        <v>105</v>
      </c>
      <c r="E36" s="119">
        <v>196</v>
      </c>
      <c r="F36" s="465">
        <v>109</v>
      </c>
      <c r="G36" s="95">
        <f t="shared" si="0"/>
        <v>13</v>
      </c>
      <c r="H36" s="122">
        <f t="shared" si="1"/>
        <v>7.1038251366120218</v>
      </c>
      <c r="I36" s="577"/>
      <c r="J36" s="578">
        <f>RANK(H36,$H$12:$H$36,1)+COUNTIF($H$36:H36,H36)-1</f>
        <v>24</v>
      </c>
      <c r="K36" s="84" t="str">
        <f>INDEX(B12:H36,MATCH(25,J12:J36,0),1)</f>
        <v>bieszczadzki</v>
      </c>
      <c r="L36" s="579">
        <f>INDEX(B12:H36,MATCH(25,J12:J36,0),7)</f>
        <v>8.5106382978723403</v>
      </c>
    </row>
    <row r="37" spans="2:12" x14ac:dyDescent="0.25">
      <c r="C37" s="502">
        <f>SUM(C12:C36)</f>
        <v>11174</v>
      </c>
      <c r="D37" s="502">
        <f>SUM(D12:D36)</f>
        <v>6178</v>
      </c>
      <c r="E37" s="502">
        <f>SUM(E12:E36)</f>
        <v>9704</v>
      </c>
      <c r="F37" s="502">
        <f>SUM(F12:F36)</f>
        <v>5321</v>
      </c>
    </row>
  </sheetData>
  <mergeCells count="6">
    <mergeCell ref="B11:H11"/>
    <mergeCell ref="B5:B6"/>
    <mergeCell ref="E5:F5"/>
    <mergeCell ref="C5:D5"/>
    <mergeCell ref="G5:G6"/>
    <mergeCell ref="H5:H6"/>
  </mergeCells>
  <printOptions horizontalCentered="1"/>
  <pageMargins left="0" right="0" top="1.0236220472440944" bottom="0.31496062992125984" header="0" footer="0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25</vt:i4>
      </vt:variant>
    </vt:vector>
  </HeadingPairs>
  <TitlesOfParts>
    <vt:vector size="25" baseType="lpstr">
      <vt:lpstr>T.I</vt:lpstr>
      <vt:lpstr>T.II</vt:lpstr>
      <vt:lpstr>T.II.A</vt:lpstr>
      <vt:lpstr>T.III</vt:lpstr>
      <vt:lpstr>T.IV</vt:lpstr>
      <vt:lpstr>T.V</vt:lpstr>
      <vt:lpstr>T.VI</vt:lpstr>
      <vt:lpstr>T.VII</vt:lpstr>
      <vt:lpstr>T.VIII</vt:lpstr>
      <vt:lpstr>T.IX T.X T.XI</vt:lpstr>
      <vt:lpstr>T.XII</vt:lpstr>
      <vt:lpstr>T.XIII</vt:lpstr>
      <vt:lpstr>T.XIV</vt:lpstr>
      <vt:lpstr>T.XV</vt:lpstr>
      <vt:lpstr>T.XVI</vt:lpstr>
      <vt:lpstr>T.XVII</vt:lpstr>
      <vt:lpstr>T.XVIII</vt:lpstr>
      <vt:lpstr>T.XIX</vt:lpstr>
      <vt:lpstr>T.XX</vt:lpstr>
      <vt:lpstr>T.XXI</vt:lpstr>
      <vt:lpstr>T.XXII</vt:lpstr>
      <vt:lpstr>T.XXIII</vt:lpstr>
      <vt:lpstr>T.XXIV</vt:lpstr>
      <vt:lpstr>T.XXV</vt:lpstr>
      <vt:lpstr>T.XXVI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lastModifiedBy>WUP</cp:lastModifiedBy>
  <cp:lastPrinted>2022-08-04T08:34:58Z</cp:lastPrinted>
  <dcterms:created xsi:type="dcterms:W3CDTF">2016-01-29T08:03:05Z</dcterms:created>
  <dcterms:modified xsi:type="dcterms:W3CDTF">2022-08-08T09:40:09Z</dcterms:modified>
</cp:coreProperties>
</file>