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8 -'23\"/>
    </mc:Choice>
  </mc:AlternateContent>
  <xr:revisionPtr revIDLastSave="0" documentId="13_ncr:1_{C9DBF656-2271-42BB-8765-E5B0EA1525D6}" xr6:coauthVersionLast="47" xr6:coauthVersionMax="47" xr10:uidLastSave="{00000000-0000-0000-0000-000000000000}"/>
  <bookViews>
    <workbookView xWindow="-120" yWindow="-120" windowWidth="29040" windowHeight="15720" tabRatio="949" activeTab="22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8" i="14" l="1"/>
  <c r="AA4" i="14"/>
  <c r="AB3" i="14"/>
  <c r="AA5" i="14"/>
  <c r="AA29" i="14"/>
  <c r="AA28" i="14"/>
  <c r="AA27" i="14"/>
  <c r="AA26" i="14"/>
  <c r="AA25" i="14"/>
  <c r="AA24" i="14"/>
  <c r="AA23" i="14"/>
  <c r="AA22" i="14"/>
  <c r="AA21" i="14"/>
  <c r="AA20" i="14"/>
  <c r="AA19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V4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AC3" i="14"/>
  <c r="R3" i="28"/>
  <c r="X29" i="14" l="1"/>
  <c r="AB22" i="14"/>
  <c r="AB12" i="14"/>
  <c r="X18" i="14"/>
  <c r="X4" i="14"/>
  <c r="AB23" i="14"/>
  <c r="AB28" i="14"/>
  <c r="W5" i="14"/>
  <c r="AC13" i="14"/>
  <c r="AC29" i="14"/>
  <c r="AB11" i="14"/>
  <c r="AC23" i="14"/>
  <c r="X5" i="14"/>
  <c r="AC12" i="14"/>
  <c r="AC24" i="14"/>
  <c r="AB13" i="14"/>
  <c r="AC25" i="14"/>
  <c r="AC14" i="14"/>
  <c r="AB15" i="14"/>
  <c r="AC15" i="14"/>
  <c r="AB26" i="14"/>
  <c r="AB8" i="14"/>
  <c r="AC8" i="14"/>
  <c r="AC20" i="14"/>
  <c r="AB19" i="14"/>
  <c r="W4" i="14"/>
  <c r="AB9" i="14"/>
  <c r="AC9" i="14"/>
  <c r="AC21" i="14"/>
  <c r="AB20" i="14"/>
  <c r="AB10" i="14"/>
  <c r="AC10" i="14"/>
  <c r="AC22" i="14"/>
  <c r="AB21" i="14"/>
  <c r="AB24" i="14"/>
  <c r="AC11" i="14"/>
  <c r="AB14" i="14"/>
  <c r="AC26" i="14"/>
  <c r="AB25" i="14"/>
  <c r="AC27" i="14"/>
  <c r="AB4" i="14"/>
  <c r="AC4" i="14"/>
  <c r="AC16" i="14"/>
  <c r="AC28" i="14"/>
  <c r="AB27" i="14"/>
  <c r="AB5" i="14"/>
  <c r="AC5" i="14"/>
  <c r="AC17" i="14"/>
  <c r="AB16" i="14"/>
  <c r="AB6" i="14"/>
  <c r="AC6" i="14"/>
  <c r="AC18" i="14"/>
  <c r="AB17" i="14"/>
  <c r="AB29" i="14"/>
  <c r="AB7" i="14"/>
  <c r="AC7" i="14"/>
  <c r="AC19" i="14"/>
  <c r="AB18" i="1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8" i="4" s="1"/>
  <c r="R9" i="28"/>
  <c r="AA28" i="28"/>
  <c r="H53" i="28"/>
  <c r="AC30" i="14" l="1"/>
  <c r="Q3" i="28"/>
  <c r="P28" i="28" l="1"/>
  <c r="O28" i="28"/>
  <c r="N28" i="28"/>
  <c r="M28" i="28"/>
  <c r="J28" i="28"/>
  <c r="I28" i="28"/>
  <c r="G28" i="28"/>
  <c r="F28" i="28"/>
  <c r="D28" i="28"/>
  <c r="C28" i="28"/>
  <c r="H32" i="28" l="1"/>
  <c r="G32" i="28"/>
  <c r="F57" i="28"/>
  <c r="E57" i="28"/>
  <c r="D57" i="28"/>
  <c r="C57" i="28"/>
  <c r="H56" i="28"/>
  <c r="G56" i="28"/>
  <c r="H55" i="28"/>
  <c r="G55" i="28"/>
  <c r="H54" i="28"/>
  <c r="G54" i="28"/>
  <c r="G53" i="28"/>
  <c r="H52" i="28"/>
  <c r="G52" i="28"/>
  <c r="H51" i="28"/>
  <c r="G51" i="28"/>
  <c r="H50" i="28"/>
  <c r="G50" i="28"/>
  <c r="H49" i="28"/>
  <c r="G49" i="28"/>
  <c r="H48" i="28"/>
  <c r="G48" i="28"/>
  <c r="H47" i="28"/>
  <c r="G47" i="28"/>
  <c r="H46" i="28"/>
  <c r="G46" i="28"/>
  <c r="H45" i="28"/>
  <c r="G45" i="28"/>
  <c r="H44" i="28"/>
  <c r="G44" i="28"/>
  <c r="H43" i="28"/>
  <c r="G43" i="28"/>
  <c r="H42" i="28"/>
  <c r="G42" i="28"/>
  <c r="H41" i="28"/>
  <c r="G41" i="28"/>
  <c r="H40" i="28"/>
  <c r="G40" i="28"/>
  <c r="H39" i="28"/>
  <c r="G39" i="28"/>
  <c r="H38" i="28"/>
  <c r="G38" i="28"/>
  <c r="H37" i="28"/>
  <c r="G37" i="28"/>
  <c r="H36" i="28"/>
  <c r="G36" i="28"/>
  <c r="H35" i="28"/>
  <c r="G35" i="28"/>
  <c r="H34" i="28"/>
  <c r="G34" i="28"/>
  <c r="H33" i="28"/>
  <c r="G33" i="28"/>
  <c r="D28" i="3"/>
  <c r="R27" i="28"/>
  <c r="Q27" i="28"/>
  <c r="K27" i="28"/>
  <c r="H27" i="28"/>
  <c r="E27" i="28"/>
  <c r="R26" i="28"/>
  <c r="Q26" i="28"/>
  <c r="K26" i="28"/>
  <c r="H26" i="28"/>
  <c r="E26" i="28"/>
  <c r="R25" i="28"/>
  <c r="Q25" i="28"/>
  <c r="K25" i="28"/>
  <c r="H25" i="28"/>
  <c r="E25" i="28"/>
  <c r="R24" i="28"/>
  <c r="Q24" i="28"/>
  <c r="K24" i="28"/>
  <c r="H24" i="28"/>
  <c r="E24" i="28"/>
  <c r="R23" i="28"/>
  <c r="Q23" i="28"/>
  <c r="K23" i="28"/>
  <c r="H23" i="28"/>
  <c r="E23" i="28"/>
  <c r="R22" i="28"/>
  <c r="Q22" i="28"/>
  <c r="K22" i="28"/>
  <c r="H22" i="28"/>
  <c r="E22" i="28"/>
  <c r="R21" i="28"/>
  <c r="Q21" i="28"/>
  <c r="K21" i="28"/>
  <c r="H21" i="28"/>
  <c r="E21" i="28"/>
  <c r="R20" i="28"/>
  <c r="Q20" i="28"/>
  <c r="K20" i="28"/>
  <c r="H20" i="28"/>
  <c r="E20" i="28"/>
  <c r="R19" i="28"/>
  <c r="Q19" i="28"/>
  <c r="K19" i="28"/>
  <c r="H19" i="28"/>
  <c r="E19" i="28"/>
  <c r="R18" i="28"/>
  <c r="Q18" i="28"/>
  <c r="K18" i="28"/>
  <c r="H18" i="28"/>
  <c r="E18" i="28"/>
  <c r="R17" i="28"/>
  <c r="Q17" i="28"/>
  <c r="K17" i="28"/>
  <c r="H17" i="28"/>
  <c r="E17" i="28"/>
  <c r="R16" i="28"/>
  <c r="Q16" i="28"/>
  <c r="K16" i="28"/>
  <c r="H16" i="28"/>
  <c r="E16" i="28"/>
  <c r="R15" i="28"/>
  <c r="Q15" i="28"/>
  <c r="K15" i="28"/>
  <c r="H15" i="28"/>
  <c r="E15" i="28"/>
  <c r="R14" i="28"/>
  <c r="Q14" i="28"/>
  <c r="K14" i="28"/>
  <c r="H14" i="28"/>
  <c r="E14" i="28"/>
  <c r="R13" i="28"/>
  <c r="Q13" i="28"/>
  <c r="K13" i="28"/>
  <c r="H13" i="28"/>
  <c r="E13" i="28"/>
  <c r="R12" i="28"/>
  <c r="Q12" i="28"/>
  <c r="K12" i="28"/>
  <c r="H12" i="28"/>
  <c r="E12" i="28"/>
  <c r="R11" i="28"/>
  <c r="Q11" i="28"/>
  <c r="K11" i="28"/>
  <c r="H11" i="28"/>
  <c r="E11" i="28"/>
  <c r="R10" i="28"/>
  <c r="Q10" i="28"/>
  <c r="K10" i="28"/>
  <c r="H10" i="28"/>
  <c r="E10" i="28"/>
  <c r="Q9" i="28"/>
  <c r="K9" i="28"/>
  <c r="H9" i="28"/>
  <c r="E9" i="28"/>
  <c r="R8" i="28"/>
  <c r="Q8" i="28"/>
  <c r="K8" i="28"/>
  <c r="H8" i="28"/>
  <c r="E8" i="28"/>
  <c r="R7" i="28"/>
  <c r="Q7" i="28"/>
  <c r="K7" i="28"/>
  <c r="H7" i="28"/>
  <c r="E7" i="28"/>
  <c r="R6" i="28"/>
  <c r="Q6" i="28"/>
  <c r="K6" i="28"/>
  <c r="H6" i="28"/>
  <c r="E6" i="28"/>
  <c r="R5" i="28"/>
  <c r="Q5" i="28"/>
  <c r="K5" i="28"/>
  <c r="H5" i="28"/>
  <c r="E5" i="28"/>
  <c r="R4" i="28"/>
  <c r="Q4" i="28"/>
  <c r="K4" i="28"/>
  <c r="H4" i="28"/>
  <c r="E4" i="28"/>
  <c r="K3" i="28"/>
  <c r="H3" i="28"/>
  <c r="E3" i="28"/>
  <c r="X3" i="14"/>
  <c r="W3" i="14"/>
  <c r="D28" i="6"/>
  <c r="F28" i="1"/>
  <c r="D24" i="2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U9" i="28" l="1"/>
  <c r="L9" i="28"/>
  <c r="U3" i="28"/>
  <c r="U24" i="28"/>
  <c r="R28" i="28"/>
  <c r="L4" i="28"/>
  <c r="Q28" i="28"/>
  <c r="L16" i="28"/>
  <c r="H28" i="28"/>
  <c r="L3" i="28"/>
  <c r="E28" i="28"/>
  <c r="K28" i="28"/>
  <c r="L7" i="28"/>
  <c r="L19" i="28"/>
  <c r="L15" i="28"/>
  <c r="L13" i="28"/>
  <c r="L21" i="28"/>
  <c r="L12" i="28"/>
  <c r="U15" i="28"/>
  <c r="U27" i="28"/>
  <c r="G57" i="28"/>
  <c r="H57" i="28"/>
  <c r="U8" i="28"/>
  <c r="U20" i="28"/>
  <c r="U13" i="28"/>
  <c r="U25" i="28"/>
  <c r="U6" i="28"/>
  <c r="U18" i="28"/>
  <c r="U11" i="28"/>
  <c r="U23" i="28"/>
  <c r="U4" i="28"/>
  <c r="U16" i="28"/>
  <c r="U21" i="28"/>
  <c r="U14" i="28"/>
  <c r="U26" i="28"/>
  <c r="U7" i="28"/>
  <c r="U19" i="28"/>
  <c r="U12" i="28"/>
  <c r="U5" i="28"/>
  <c r="U17" i="28"/>
  <c r="U10" i="28"/>
  <c r="U22" i="28"/>
  <c r="L24" i="28"/>
  <c r="L6" i="28"/>
  <c r="L18" i="28"/>
  <c r="L27" i="28"/>
  <c r="L14" i="28"/>
  <c r="L26" i="28"/>
  <c r="L5" i="28"/>
  <c r="L17" i="28"/>
  <c r="L10" i="28"/>
  <c r="L22" i="28"/>
  <c r="L8" i="28"/>
  <c r="L20" i="28"/>
  <c r="L25" i="28"/>
  <c r="L11" i="28"/>
  <c r="L23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T9" i="28" l="1"/>
  <c r="AA9" i="28" s="1"/>
  <c r="T24" i="28"/>
  <c r="AA24" i="28" s="1"/>
  <c r="Y3" i="28"/>
  <c r="L28" i="28"/>
  <c r="T3" i="28"/>
  <c r="AA3" i="28" s="1"/>
  <c r="X18" i="28"/>
  <c r="X6" i="28"/>
  <c r="X8" i="28"/>
  <c r="X25" i="28"/>
  <c r="Y18" i="28"/>
  <c r="X3" i="28"/>
  <c r="Y25" i="28"/>
  <c r="X7" i="28"/>
  <c r="Y23" i="28"/>
  <c r="X20" i="28"/>
  <c r="X23" i="28"/>
  <c r="Y16" i="28"/>
  <c r="Y6" i="28"/>
  <c r="Y5" i="28"/>
  <c r="Y7" i="28"/>
  <c r="X5" i="28"/>
  <c r="X10" i="28"/>
  <c r="X22" i="28"/>
  <c r="Y27" i="28"/>
  <c r="Y4" i="28"/>
  <c r="X21" i="28"/>
  <c r="X11" i="28"/>
  <c r="Y8" i="28"/>
  <c r="Y11" i="28"/>
  <c r="X24" i="28"/>
  <c r="X13" i="28"/>
  <c r="Y15" i="28"/>
  <c r="Y13" i="28"/>
  <c r="Y10" i="28"/>
  <c r="X14" i="28"/>
  <c r="X26" i="28"/>
  <c r="Y20" i="28"/>
  <c r="Y17" i="28"/>
  <c r="Y26" i="28"/>
  <c r="X12" i="28"/>
  <c r="X15" i="28"/>
  <c r="X27" i="28"/>
  <c r="Y19" i="28"/>
  <c r="X4" i="28"/>
  <c r="X16" i="28"/>
  <c r="Y21" i="28"/>
  <c r="Y9" i="28"/>
  <c r="X17" i="28"/>
  <c r="Y22" i="28"/>
  <c r="Y12" i="28"/>
  <c r="X9" i="28"/>
  <c r="Y14" i="28"/>
  <c r="X19" i="28"/>
  <c r="Y24" i="28"/>
  <c r="T21" i="28"/>
  <c r="AA21" i="28" s="1"/>
  <c r="T8" i="28"/>
  <c r="AA8" i="28" s="1"/>
  <c r="T10" i="28"/>
  <c r="AA10" i="28" s="1"/>
  <c r="T12" i="28"/>
  <c r="AA12" i="28" s="1"/>
  <c r="T26" i="28"/>
  <c r="AA26" i="28" s="1"/>
  <c r="T23" i="28"/>
  <c r="AA23" i="28" s="1"/>
  <c r="T25" i="28"/>
  <c r="AA25" i="28" s="1"/>
  <c r="T13" i="28"/>
  <c r="AA13" i="28" s="1"/>
  <c r="T19" i="28"/>
  <c r="AA19" i="28" s="1"/>
  <c r="T15" i="28"/>
  <c r="AA15" i="28" s="1"/>
  <c r="T7" i="28"/>
  <c r="AA7" i="28" s="1"/>
  <c r="T27" i="28"/>
  <c r="AA27" i="28" s="1"/>
  <c r="T22" i="28"/>
  <c r="AA22" i="28" s="1"/>
  <c r="T14" i="28"/>
  <c r="AA14" i="28" s="1"/>
  <c r="T18" i="28"/>
  <c r="AA18" i="28" s="1"/>
  <c r="T5" i="28"/>
  <c r="AA5" i="28" s="1"/>
  <c r="T16" i="28"/>
  <c r="AA16" i="28" s="1"/>
  <c r="T4" i="28"/>
  <c r="AA4" i="28" s="1"/>
  <c r="T20" i="28"/>
  <c r="AA20" i="28" s="1"/>
  <c r="T17" i="28"/>
  <c r="AA17" i="28" s="1"/>
  <c r="T6" i="28"/>
  <c r="AA6" i="28" s="1"/>
  <c r="T11" i="28"/>
  <c r="AA11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V3" i="28" l="1"/>
  <c r="W7" i="28"/>
  <c r="V7" i="28"/>
  <c r="W3" i="28"/>
  <c r="V13" i="28"/>
  <c r="W4" i="28"/>
  <c r="V15" i="28"/>
  <c r="W5" i="28"/>
  <c r="V19" i="28"/>
  <c r="W13" i="28"/>
  <c r="V27" i="28"/>
  <c r="V16" i="28"/>
  <c r="V17" i="28"/>
  <c r="V8" i="28"/>
  <c r="W22" i="28"/>
  <c r="V10" i="28"/>
  <c r="V22" i="28"/>
  <c r="W24" i="28"/>
  <c r="W14" i="28"/>
  <c r="W18" i="28"/>
  <c r="V20" i="28"/>
  <c r="W20" i="28"/>
  <c r="V21" i="28"/>
  <c r="V11" i="28"/>
  <c r="V23" i="28"/>
  <c r="W25" i="28"/>
  <c r="W19" i="28"/>
  <c r="W17" i="28"/>
  <c r="V9" i="28"/>
  <c r="W23" i="28"/>
  <c r="W12" i="28"/>
  <c r="V12" i="28"/>
  <c r="V24" i="28"/>
  <c r="W26" i="28"/>
  <c r="W6" i="28"/>
  <c r="V6" i="28"/>
  <c r="W10" i="28"/>
  <c r="W21" i="28"/>
  <c r="V4" i="28"/>
  <c r="W15" i="28"/>
  <c r="V25" i="28"/>
  <c r="W27" i="28"/>
  <c r="W8" i="28"/>
  <c r="V14" i="28"/>
  <c r="V26" i="28"/>
  <c r="W16" i="28"/>
  <c r="W9" i="28"/>
  <c r="V5" i="28"/>
  <c r="W11" i="28"/>
  <c r="V18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s="1"/>
  <c r="B29" i="14" l="1"/>
  <c r="B6" i="14" l="1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F11" i="14" l="1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D28" i="10" l="1"/>
  <c r="G6" i="13" l="1"/>
  <c r="E6" i="13"/>
  <c r="G27" i="10" l="1"/>
  <c r="G10" i="2" l="1"/>
  <c r="B19" i="16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G26" i="10" l="1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7" i="14" l="1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X14" i="14"/>
  <c r="E28" i="10"/>
  <c r="G28" i="10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X30" i="14" l="1"/>
  <c r="F27" i="17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B20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D14" i="16"/>
  <c r="E5" i="16"/>
  <c r="E13" i="16"/>
  <c r="F12" i="16"/>
  <c r="G7" i="16"/>
  <c r="H6" i="16"/>
  <c r="C14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5" i="16"/>
  <c r="C13" i="16"/>
  <c r="C20" i="16"/>
  <c r="C6" i="16"/>
  <c r="C4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27" i="20" s="1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7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H26" i="21" l="1"/>
  <c r="G28" i="6"/>
  <c r="H25" i="21"/>
  <c r="F26" i="21"/>
  <c r="F25" i="20"/>
  <c r="E28" i="3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<sst xmlns="http://schemas.openxmlformats.org/spreadsheetml/2006/main" count="537" uniqueCount="159">
  <si>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</si>
  <si>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</si>
  <si>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</si>
  <si>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</si>
  <si>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</si>
  <si>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</si>
  <si>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</si>
  <si>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</si>
  <si>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</si>
  <si>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</si>
  <si>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</si>
  <si>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</si>
  <si>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</si>
  <si>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</si>
  <si>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</si>
  <si>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</si>
  <si>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</si>
  <si>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</si>
  <si>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</si>
  <si>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</si>
  <si>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</si>
  <si>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</si>
  <si>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</si>
  <si>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</si>
  <si>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</si>
  <si>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</si>
  <si>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</si>
  <si>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</si>
  <si>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</si>
  <si>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</si>
  <si>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</si>
  <si>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</si>
  <si>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</si>
  <si>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</si>
  <si>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</si>
  <si>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</si>
  <si>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</si>
  <si>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</si>
  <si>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</si>
  <si>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</si>
  <si>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</si>
  <si>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</si>
  <si>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</si>
  <si>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</si>
  <si>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</si>
  <si>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</si>
  <si>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</si>
  <si>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</si>
  <si>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</si>
  <si>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</si>
  <si>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</si>
  <si>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</si>
  <si>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</si>
  <si>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</si>
  <si>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</si>
  <si>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</si>
  <si>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</si>
  <si>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</si>
  <si>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</si>
  <si>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</si>
  <si>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</si>
  <si>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</si>
  <si>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</si>
  <si>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</si>
  <si>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</si>
  <si>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</si>
  <si>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</si>
  <si>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</si>
  <si>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</si>
  <si>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</si>
  <si>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</si>
  <si>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</si>
  <si>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</si>
  <si>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</si>
  <si>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</si>
  <si>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</si>
  <si>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analogicznego okresu ubr.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</si>
  <si>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</si>
  <si>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</si>
  <si>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</si>
  <si>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</si>
  <si>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</si>
  <si>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wzrost lub spadek do analogicznego okresu ubr.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</si>
  <si>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</si>
  <si>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</si>
  <si>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</si>
  <si>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</si>
  <si>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</si>
  <si>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</si>
  <si>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</si>
  <si>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</si>
  <si>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</si>
  <si>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</si>
  <si>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</si>
  <si>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</si>
  <si>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</si>
  <si>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</si>
  <si>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</si>
  <si>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</si>
  <si>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Oferty pracy ogółem według stanu na koniec miesiąca</t>
  </si>
  <si>
    <t>(wolne miejsca pracy i miejsca aktywizacji zawodowej)</t>
  </si>
  <si>
    <t>Oferty pracy ogółem według stanu na koniec miesiąca (wolne miejsca pracy i miejsca aktywizacji zawodowej) wg powiatów</t>
  </si>
  <si>
    <t>* GUS - BDL.</t>
  </si>
  <si>
    <t>Spadki wzrosty liczba bezrobotnych w województwie podkarpackim wg powiatów</t>
  </si>
  <si>
    <t>X</t>
  </si>
  <si>
    <t>Y</t>
  </si>
  <si>
    <t>różnica niesybsydiowane</t>
  </si>
  <si>
    <t xml:space="preserve">róznica subsydiowane </t>
  </si>
  <si>
    <t>Różnca staże</t>
  </si>
  <si>
    <t>Suma różnic</t>
  </si>
  <si>
    <t>stan na 31-12-2022</t>
  </si>
  <si>
    <t>spr.</t>
  </si>
  <si>
    <t>wzrost/spadek</t>
  </si>
  <si>
    <t>lokata X</t>
  </si>
  <si>
    <t>lokata Y</t>
  </si>
  <si>
    <t>tarnobrzeski</t>
  </si>
  <si>
    <t>Pokdarpacie</t>
  </si>
  <si>
    <t>Korelacja podjęć pracy z napływem i odpływem liczby bezrobotnych</t>
  </si>
  <si>
    <t>liczba bezrobotnych zam. na wsi stan na 30 VI '23 r.</t>
  </si>
  <si>
    <t>stan na 31-12-2021</t>
  </si>
  <si>
    <t>liczba bezrobotnych ogółem stan na 31 VII '23 r.</t>
  </si>
  <si>
    <t>liczba bezrobotnych kobiet stan na 31 VII '23 r.</t>
  </si>
  <si>
    <t>Stopa bezrobocia stan na 31 VII '22 r. (w proc.)*</t>
  </si>
  <si>
    <t>liczba bezrobotnych pow. 12 m-cy stan na 31 VII '23 r.</t>
  </si>
  <si>
    <t>liczba bezrobotnych do 30 r. ż. stan na 31 VII '23 r.</t>
  </si>
  <si>
    <t>liczba bezrobotnych 50+ stan na 31 VII '23 r.</t>
  </si>
  <si>
    <t>liczba ofert w VII '23 r.</t>
  </si>
  <si>
    <t>liczba bezrobotnych ogółem stan na 31 VIII '22 r.</t>
  </si>
  <si>
    <t>liczba bezrobotnych kobiet stan na 31 VIII '23 r.</t>
  </si>
  <si>
    <t>liczba bezrobotnych kobiet stan na 31 VIII '22 r.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</si>
  <si>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 VIII '23 r. </t>
    </r>
    <r>
      <rPr>
        <sz val="11"/>
        <color theme="1"/>
        <rFont val="Arial"/>
        <family val="2"/>
        <charset val="238"/>
      </rPr>
      <t>(w proc.)*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</si>
  <si>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>31 VIII '22 r.</t>
    </r>
    <r>
      <rPr>
        <sz val="11"/>
        <color theme="1"/>
        <rFont val="Arial"/>
        <family val="2"/>
        <charset val="238"/>
      </rPr>
      <t xml:space="preserve"> (w proc.)*</t>
    </r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</si>
  <si>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31 VIII '23 r.</t>
    </r>
  </si>
  <si>
    <t>Stopa bezrobocia stan na 31 VII '23 r. w proc. *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</si>
  <si>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31 VIII '23 </t>
    </r>
    <r>
      <rPr>
        <sz val="11"/>
        <color theme="1"/>
        <rFont val="Arial"/>
        <family val="2"/>
        <charset val="238"/>
      </rPr>
      <t>r. w proc.*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</si>
  <si>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>31 VIII '22 r</t>
    </r>
    <r>
      <rPr>
        <sz val="11"/>
        <color theme="1"/>
        <rFont val="Arial"/>
        <family val="2"/>
        <charset val="238"/>
      </rPr>
      <t>. w proc.*</t>
    </r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</si>
  <si>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31 VIII '23 r.</t>
    </r>
  </si>
  <si>
    <r>
      <t xml:space="preserve">liczba bezrobotnych zam. na wsi stan na </t>
    </r>
    <r>
      <rPr>
        <sz val="12"/>
        <color theme="1"/>
        <rFont val="Arial"/>
        <family val="2"/>
        <charset val="238"/>
      </rPr>
      <t>31 VIII '22 r.</t>
    </r>
  </si>
  <si>
    <r>
      <t xml:space="preserve">liczba bezrobotnych pow. 12 m-cy stan na </t>
    </r>
    <r>
      <rPr>
        <sz val="12"/>
        <color theme="1"/>
        <rFont val="Arial"/>
        <family val="2"/>
        <charset val="238"/>
      </rPr>
      <t>31 VIII '23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</si>
  <si>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31 VIII '22 r.</t>
    </r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</si>
  <si>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 VIII '23 r.</t>
    </r>
  </si>
  <si>
    <r>
      <t xml:space="preserve">liczba bezrobotnych 50+ stan na </t>
    </r>
    <r>
      <rPr>
        <sz val="12"/>
        <color theme="1"/>
        <rFont val="Arial"/>
        <family val="2"/>
        <charset val="238"/>
      </rPr>
      <t>31 VIII '23 r.</t>
    </r>
  </si>
  <si>
    <r>
      <t xml:space="preserve">liczba bezrobotnych 50+ stan na </t>
    </r>
    <r>
      <rPr>
        <sz val="12"/>
        <color theme="1"/>
        <rFont val="Arial"/>
        <family val="2"/>
        <charset val="238"/>
      </rPr>
      <t>31 VIII '22 r.</t>
    </r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</si>
  <si>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31 VIII '22 r.</t>
    </r>
  </si>
  <si>
    <t>liczba ofert w VIII '22 r.</t>
  </si>
  <si>
    <t>liczba ofert w VIII '23 r.</t>
  </si>
  <si>
    <t>podjecia pracy niesubs. I-VIII 2022</t>
  </si>
  <si>
    <t>podjecia pracy niesubs. I-VIII 2023</t>
  </si>
  <si>
    <t>staże I-VIII 2022</t>
  </si>
  <si>
    <t>staże I-VIII 2023</t>
  </si>
  <si>
    <t>napływ 01-01-2023 do 31-VIII-2023</t>
  </si>
  <si>
    <t>odpływ 01-01-2023 do 31-VIII-2023</t>
  </si>
  <si>
    <t>stan na 31-VIII-2023</t>
  </si>
  <si>
    <t>napływ 01-01-2022 do 31-VIII-2022</t>
  </si>
  <si>
    <t>odpływ 01-01-2022 do 31-VIII-2022</t>
  </si>
  <si>
    <t>stan na 31-VIII-2022</t>
  </si>
  <si>
    <t>liczba bezrobotnych od najwyższej</t>
  </si>
  <si>
    <t>praca subs. I-VIII 2022</t>
  </si>
  <si>
    <t>praca subs. I-VIII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</si>
</sst>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98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13" fillId="2" borderId="13" xfId="4" quotePrefix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2" borderId="10" xfId="4" quotePrefix="1" applyFont="1" applyFill="1" applyBorder="1" applyAlignment="1">
      <alignment horizontal="left" vertical="center" wrapText="1"/>
    </xf>
    <xf numFmtId="1" fontId="9" fillId="2" borderId="12" xfId="1" applyNumberFormat="1" applyFont="1" applyFill="1" applyBorder="1" applyAlignment="1">
      <alignment horizontal="center" vertical="center" wrapText="1"/>
    </xf>
    <xf numFmtId="0" fontId="9" fillId="2" borderId="13" xfId="4" quotePrefix="1" applyFont="1" applyFill="1" applyBorder="1" applyAlignment="1">
      <alignment horizontal="left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9" fillId="2" borderId="15" xfId="4" quotePrefix="1" applyFont="1" applyFill="1" applyBorder="1" applyAlignment="1">
      <alignment horizontal="left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3" fillId="3" borderId="20" xfId="3" quotePrefix="1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/>
    <xf numFmtId="0" fontId="9" fillId="3" borderId="24" xfId="0" applyFont="1" applyFill="1" applyBorder="1" applyAlignment="1">
      <alignment horizontal="center" vertical="center"/>
    </xf>
    <xf numFmtId="1" fontId="9" fillId="3" borderId="24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3" fillId="2" borderId="15" xfId="4" quotePrefix="1" applyFont="1" applyFill="1" applyBorder="1" applyAlignment="1">
      <alignment horizontal="left" vertical="center" wrapText="1"/>
    </xf>
    <xf numFmtId="1" fontId="13" fillId="2" borderId="16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3" borderId="25" xfId="0" applyNumberFormat="1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1" fontId="13" fillId="2" borderId="14" xfId="1" applyNumberFormat="1" applyFont="1" applyFill="1" applyBorder="1" applyAlignment="1">
      <alignment horizontal="center" vertical="center" wrapText="1"/>
    </xf>
    <xf numFmtId="0" fontId="13" fillId="5" borderId="20" xfId="3" quotePrefix="1" applyFont="1" applyFill="1" applyBorder="1" applyAlignment="1">
      <alignment horizontal="left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1" fontId="9" fillId="3" borderId="30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 wrapText="1"/>
    </xf>
    <xf numFmtId="1" fontId="9" fillId="5" borderId="26" xfId="0" applyNumberFormat="1" applyFont="1" applyFill="1" applyBorder="1" applyAlignment="1">
      <alignment horizontal="center" vertical="center" wrapText="1"/>
    </xf>
    <xf numFmtId="3" fontId="9" fillId="5" borderId="2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1" fontId="15" fillId="2" borderId="10" xfId="0" applyNumberFormat="1" applyFont="1" applyFill="1" applyBorder="1" applyAlignment="1">
      <alignment horizontal="center" vertical="center"/>
    </xf>
    <xf numFmtId="1" fontId="15" fillId="2" borderId="18" xfId="0" applyNumberFormat="1" applyFont="1" applyFill="1" applyBorder="1" applyAlignment="1">
      <alignment horizontal="center" vertical="center"/>
    </xf>
    <xf numFmtId="1" fontId="15" fillId="3" borderId="21" xfId="0" applyNumberFormat="1" applyFont="1" applyFill="1" applyBorder="1" applyAlignment="1">
      <alignment horizontal="center" vertical="center" wrapText="1"/>
    </xf>
    <xf numFmtId="3" fontId="15" fillId="3" borderId="21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 wrapText="1"/>
    </xf>
    <xf numFmtId="1" fontId="9" fillId="2" borderId="37" xfId="0" applyNumberFormat="1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1" fontId="15" fillId="2" borderId="37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" fontId="9" fillId="10" borderId="14" xfId="1" applyNumberFormat="1" applyFont="1" applyFill="1" applyBorder="1" applyAlignment="1">
      <alignment horizontal="center" vertical="center" wrapText="1"/>
    </xf>
    <xf numFmtId="1" fontId="9" fillId="10" borderId="17" xfId="1" applyNumberFormat="1" applyFont="1" applyFill="1" applyBorder="1" applyAlignment="1">
      <alignment horizontal="center" vertical="center" wrapText="1"/>
    </xf>
    <xf numFmtId="1" fontId="13" fillId="10" borderId="14" xfId="1" applyNumberFormat="1" applyFont="1" applyFill="1" applyBorder="1" applyAlignment="1">
      <alignment horizontal="center" vertical="center" wrapText="1"/>
    </xf>
    <xf numFmtId="1" fontId="13" fillId="10" borderId="17" xfId="1" applyNumberFormat="1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1" fontId="9" fillId="10" borderId="33" xfId="0" applyNumberFormat="1" applyFont="1" applyFill="1" applyBorder="1" applyAlignment="1">
      <alignment horizontal="center" vertical="center"/>
    </xf>
    <xf numFmtId="1" fontId="9" fillId="10" borderId="34" xfId="0" applyNumberFormat="1" applyFont="1" applyFill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1" fontId="9" fillId="10" borderId="14" xfId="0" applyNumberFormat="1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3" fontId="2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3" fontId="2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top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CCFFFF"/>
      <color rgb="FFFFCC00"/>
      <color rgb="FFFFF2B3"/>
      <color rgb="FF0000FF"/>
      <color rgb="FFFFEE9B"/>
      <color rgb="FFCCFFCC"/>
      <color rgb="FFFEF1E6"/>
      <color rgb="FFFFD700"/>
      <color rgb="FFFDEAD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 województwie podkarpackim wg powiatów</a:t>
            </a:r>
          </a:p>
        </c:rich>
      </c:tx>
      <c:layout>
        <c:manualLayout>
          <c:xMode val="edge"/>
          <c:yMode val="edge"/>
          <c:x val="0.21175836008271273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leżajski</c:v>
                </c:pt>
                <c:pt idx="16">
                  <c:v>mielecki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781</c:v>
                </c:pt>
                <c:pt idx="1">
                  <c:v>973</c:v>
                </c:pt>
                <c:pt idx="2">
                  <c:v>1078</c:v>
                </c:pt>
                <c:pt idx="3">
                  <c:v>1268</c:v>
                </c:pt>
                <c:pt idx="4">
                  <c:v>1511</c:v>
                </c:pt>
                <c:pt idx="5">
                  <c:v>1541</c:v>
                </c:pt>
                <c:pt idx="6">
                  <c:v>1692</c:v>
                </c:pt>
                <c:pt idx="7">
                  <c:v>1923</c:v>
                </c:pt>
                <c:pt idx="8">
                  <c:v>2126</c:v>
                </c:pt>
                <c:pt idx="9">
                  <c:v>2343</c:v>
                </c:pt>
                <c:pt idx="10">
                  <c:v>2398</c:v>
                </c:pt>
                <c:pt idx="11">
                  <c:v>2520</c:v>
                </c:pt>
                <c:pt idx="12">
                  <c:v>2594</c:v>
                </c:pt>
                <c:pt idx="13">
                  <c:v>2664</c:v>
                </c:pt>
                <c:pt idx="14">
                  <c:v>2757</c:v>
                </c:pt>
                <c:pt idx="15">
                  <c:v>2897</c:v>
                </c:pt>
                <c:pt idx="16">
                  <c:v>2918</c:v>
                </c:pt>
                <c:pt idx="17">
                  <c:v>3011</c:v>
                </c:pt>
                <c:pt idx="18">
                  <c:v>3030</c:v>
                </c:pt>
                <c:pt idx="19">
                  <c:v>3300</c:v>
                </c:pt>
                <c:pt idx="20">
                  <c:v>3667</c:v>
                </c:pt>
                <c:pt idx="21">
                  <c:v>4215</c:v>
                </c:pt>
                <c:pt idx="22">
                  <c:v>4625</c:v>
                </c:pt>
                <c:pt idx="23">
                  <c:v>4772</c:v>
                </c:pt>
                <c:pt idx="24">
                  <c:v>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wzrosty liczby bezrobotnych w województwie podkarpackim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035257999275477E-2"/>
          <c:y val="2.242242383627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35320728375918E-2"/>
          <c:y val="9.384604092886846E-2"/>
          <c:w val="0.87318454309977178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wzrosty liczba bezrobotnych w województwie podkarpackim wg powiatów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'1sort'!$W$4:$W$28</c:f>
              <c:strCache>
                <c:ptCount val="25"/>
                <c:pt idx="0">
                  <c:v>Rzeszów</c:v>
                </c:pt>
                <c:pt idx="1">
                  <c:v>leżajski</c:v>
                </c:pt>
                <c:pt idx="2">
                  <c:v>Przemyśl</c:v>
                </c:pt>
                <c:pt idx="3">
                  <c:v>bieszczadzki</c:v>
                </c:pt>
                <c:pt idx="4">
                  <c:v>niżański</c:v>
                </c:pt>
                <c:pt idx="5">
                  <c:v>kolbuszowski</c:v>
                </c:pt>
                <c:pt idx="6">
                  <c:v>jarosławski</c:v>
                </c:pt>
                <c:pt idx="7">
                  <c:v>łańcucki</c:v>
                </c:pt>
                <c:pt idx="8">
                  <c:v>Tarnobrzeg</c:v>
                </c:pt>
                <c:pt idx="9">
                  <c:v>rzeszowski</c:v>
                </c:pt>
                <c:pt idx="10">
                  <c:v>sanocki</c:v>
                </c:pt>
                <c:pt idx="11">
                  <c:v>dębicki</c:v>
                </c:pt>
                <c:pt idx="12">
                  <c:v>przemyski</c:v>
                </c:pt>
                <c:pt idx="13">
                  <c:v>strzyżowski</c:v>
                </c:pt>
                <c:pt idx="14">
                  <c:v>ropczycko-sędziszowski</c:v>
                </c:pt>
                <c:pt idx="15">
                  <c:v>krośnieński</c:v>
                </c:pt>
                <c:pt idx="16">
                  <c:v>leski</c:v>
                </c:pt>
                <c:pt idx="17">
                  <c:v>przeworski</c:v>
                </c:pt>
                <c:pt idx="18">
                  <c:v>stalowowolski</c:v>
                </c:pt>
                <c:pt idx="19">
                  <c:v>tarnobrzeski </c:v>
                </c:pt>
                <c:pt idx="20">
                  <c:v>brzozowski</c:v>
                </c:pt>
                <c:pt idx="21">
                  <c:v>jasielski</c:v>
                </c:pt>
                <c:pt idx="22">
                  <c:v>Krosno</c:v>
                </c:pt>
                <c:pt idx="23">
                  <c:v>lubaczowski</c:v>
                </c:pt>
                <c:pt idx="24">
                  <c:v>mielecki</c:v>
                </c:pt>
              </c:strCache>
            </c:strRef>
          </c:cat>
          <c:val>
            <c:numRef>
              <c:f>'1sort'!$X$4:$X$28</c:f>
              <c:numCache>
                <c:formatCode>#,##0</c:formatCode>
                <c:ptCount val="25"/>
                <c:pt idx="0" formatCode="General">
                  <c:v>-47</c:v>
                </c:pt>
                <c:pt idx="1">
                  <c:v>-36</c:v>
                </c:pt>
                <c:pt idx="2">
                  <c:v>-31</c:v>
                </c:pt>
                <c:pt idx="3">
                  <c:v>-24</c:v>
                </c:pt>
                <c:pt idx="4">
                  <c:v>-21</c:v>
                </c:pt>
                <c:pt idx="5">
                  <c:v>-17</c:v>
                </c:pt>
                <c:pt idx="6">
                  <c:v>-7</c:v>
                </c:pt>
                <c:pt idx="7">
                  <c:v>1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17</c:v>
                </c:pt>
                <c:pt idx="13">
                  <c:v>23</c:v>
                </c:pt>
                <c:pt idx="14">
                  <c:v>25</c:v>
                </c:pt>
                <c:pt idx="15">
                  <c:v>31</c:v>
                </c:pt>
                <c:pt idx="16">
                  <c:v>31</c:v>
                </c:pt>
                <c:pt idx="17">
                  <c:v>32</c:v>
                </c:pt>
                <c:pt idx="18">
                  <c:v>32</c:v>
                </c:pt>
                <c:pt idx="19">
                  <c:v>35</c:v>
                </c:pt>
                <c:pt idx="20">
                  <c:v>59</c:v>
                </c:pt>
                <c:pt idx="21">
                  <c:v>63</c:v>
                </c:pt>
                <c:pt idx="22">
                  <c:v>65</c:v>
                </c:pt>
                <c:pt idx="23">
                  <c:v>76</c:v>
                </c:pt>
                <c:pt idx="24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156363544471164"/>
          <c:y val="2.7793857119877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łańcucki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przemyski</c:v>
                </c:pt>
                <c:pt idx="14">
                  <c:v>mielecki</c:v>
                </c:pt>
                <c:pt idx="15">
                  <c:v>dębicki</c:v>
                </c:pt>
                <c:pt idx="16">
                  <c:v>leżajski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429</c:v>
                </c:pt>
                <c:pt idx="1">
                  <c:v>497</c:v>
                </c:pt>
                <c:pt idx="2">
                  <c:v>540</c:v>
                </c:pt>
                <c:pt idx="3">
                  <c:v>690</c:v>
                </c:pt>
                <c:pt idx="4">
                  <c:v>714</c:v>
                </c:pt>
                <c:pt idx="5">
                  <c:v>768</c:v>
                </c:pt>
                <c:pt idx="6">
                  <c:v>806</c:v>
                </c:pt>
                <c:pt idx="7">
                  <c:v>1064</c:v>
                </c:pt>
                <c:pt idx="8">
                  <c:v>1171</c:v>
                </c:pt>
                <c:pt idx="9">
                  <c:v>1191</c:v>
                </c:pt>
                <c:pt idx="10">
                  <c:v>1285</c:v>
                </c:pt>
                <c:pt idx="11">
                  <c:v>1383</c:v>
                </c:pt>
                <c:pt idx="12">
                  <c:v>1440</c:v>
                </c:pt>
                <c:pt idx="13">
                  <c:v>1485</c:v>
                </c:pt>
                <c:pt idx="14">
                  <c:v>1490</c:v>
                </c:pt>
                <c:pt idx="15">
                  <c:v>1496</c:v>
                </c:pt>
                <c:pt idx="16">
                  <c:v>1546</c:v>
                </c:pt>
                <c:pt idx="17">
                  <c:v>1594</c:v>
                </c:pt>
                <c:pt idx="18">
                  <c:v>1626</c:v>
                </c:pt>
                <c:pt idx="19">
                  <c:v>1834</c:v>
                </c:pt>
                <c:pt idx="20">
                  <c:v>1950</c:v>
                </c:pt>
                <c:pt idx="21">
                  <c:v>2262</c:v>
                </c:pt>
                <c:pt idx="22">
                  <c:v>2356</c:v>
                </c:pt>
                <c:pt idx="23">
                  <c:v>2746</c:v>
                </c:pt>
                <c:pt idx="24">
                  <c:v>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LUBUSKIE</c:v>
                </c:pt>
                <c:pt idx="4">
                  <c:v>MAŁOPOLSKIE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KUJAWSKO-POMORSKIE</c:v>
                </c:pt>
                <c:pt idx="12">
                  <c:v>PODLASKIE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3.6</c:v>
                </c:pt>
                <c:pt idx="2">
                  <c:v>4</c:v>
                </c:pt>
                <c:pt idx="3">
                  <c:v>4.2</c:v>
                </c:pt>
                <c:pt idx="4">
                  <c:v>4.3</c:v>
                </c:pt>
                <c:pt idx="5">
                  <c:v>4.4000000000000004</c:v>
                </c:pt>
                <c:pt idx="6">
                  <c:v>4.5</c:v>
                </c:pt>
                <c:pt idx="7">
                  <c:v>5</c:v>
                </c:pt>
                <c:pt idx="8">
                  <c:v>5.4</c:v>
                </c:pt>
                <c:pt idx="9">
                  <c:v>6</c:v>
                </c:pt>
                <c:pt idx="10">
                  <c:v>6.4</c:v>
                </c:pt>
                <c:pt idx="11">
                  <c:v>7</c:v>
                </c:pt>
                <c:pt idx="12">
                  <c:v>7.1</c:v>
                </c:pt>
                <c:pt idx="13">
                  <c:v>7.5</c:v>
                </c:pt>
                <c:pt idx="14">
                  <c:v>7.6</c:v>
                </c:pt>
                <c:pt idx="15">
                  <c:v>8.1</c:v>
                </c:pt>
                <c:pt idx="16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sanocki</c:v>
                </c:pt>
                <c:pt idx="9">
                  <c:v>Powiat rzeszowski</c:v>
                </c:pt>
                <c:pt idx="10">
                  <c:v>Powiat kolbuszowski</c:v>
                </c:pt>
                <c:pt idx="11">
                  <c:v>Powiat krośnieński</c:v>
                </c:pt>
                <c:pt idx="12">
                  <c:v>PODKARPACKIE</c:v>
                </c:pt>
                <c:pt idx="13">
                  <c:v>Powiat m.Przemyśl</c:v>
                </c:pt>
                <c:pt idx="14">
                  <c:v>Powiat łańcucki</c:v>
                </c:pt>
                <c:pt idx="15">
                  <c:v>Powiat lubaczowski</c:v>
                </c:pt>
                <c:pt idx="16">
                  <c:v>Powiat jarosławski</c:v>
                </c:pt>
                <c:pt idx="17">
                  <c:v>Powiat ropczycko-sędziszowski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strzyżowski</c:v>
                </c:pt>
                <c:pt idx="24">
                  <c:v>Powiat niżański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2.7</c:v>
                </c:pt>
                <c:pt idx="1">
                  <c:v>4.0999999999999996</c:v>
                </c:pt>
                <c:pt idx="2">
                  <c:v>4.7</c:v>
                </c:pt>
                <c:pt idx="3">
                  <c:v>4.9000000000000004</c:v>
                </c:pt>
                <c:pt idx="4">
                  <c:v>5</c:v>
                </c:pt>
                <c:pt idx="5">
                  <c:v>5</c:v>
                </c:pt>
                <c:pt idx="6">
                  <c:v>6.9</c:v>
                </c:pt>
                <c:pt idx="7">
                  <c:v>7.2</c:v>
                </c:pt>
                <c:pt idx="8">
                  <c:v>7.8</c:v>
                </c:pt>
                <c:pt idx="9">
                  <c:v>8.1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8.5</c:v>
                </c:pt>
                <c:pt idx="13">
                  <c:v>9</c:v>
                </c:pt>
                <c:pt idx="14">
                  <c:v>9.6</c:v>
                </c:pt>
                <c:pt idx="15">
                  <c:v>10.4</c:v>
                </c:pt>
                <c:pt idx="16">
                  <c:v>10.6</c:v>
                </c:pt>
                <c:pt idx="17">
                  <c:v>10.8</c:v>
                </c:pt>
                <c:pt idx="18">
                  <c:v>12.5</c:v>
                </c:pt>
                <c:pt idx="19">
                  <c:v>13.8</c:v>
                </c:pt>
                <c:pt idx="20">
                  <c:v>14.2</c:v>
                </c:pt>
                <c:pt idx="21">
                  <c:v>14.6</c:v>
                </c:pt>
                <c:pt idx="22">
                  <c:v>16</c:v>
                </c:pt>
                <c:pt idx="23">
                  <c:v>16.899999999999999</c:v>
                </c:pt>
                <c:pt idx="24">
                  <c:v>17</c:v>
                </c:pt>
                <c:pt idx="25">
                  <c:v>17.600000000000001</c:v>
                </c:pt>
                <c:pt idx="26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krośnieński</c:v>
                </c:pt>
                <c:pt idx="11">
                  <c:v>niżański</c:v>
                </c:pt>
                <c:pt idx="12">
                  <c:v>łańcucki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605</c:v>
                </c:pt>
                <c:pt idx="1">
                  <c:v>740</c:v>
                </c:pt>
                <c:pt idx="2">
                  <c:v>1024</c:v>
                </c:pt>
                <c:pt idx="3">
                  <c:v>1120</c:v>
                </c:pt>
                <c:pt idx="4">
                  <c:v>1255</c:v>
                </c:pt>
                <c:pt idx="5">
                  <c:v>1330</c:v>
                </c:pt>
                <c:pt idx="6">
                  <c:v>1412</c:v>
                </c:pt>
                <c:pt idx="7">
                  <c:v>1453</c:v>
                </c:pt>
                <c:pt idx="8">
                  <c:v>1545</c:v>
                </c:pt>
                <c:pt idx="9">
                  <c:v>1692</c:v>
                </c:pt>
                <c:pt idx="10">
                  <c:v>1900</c:v>
                </c:pt>
                <c:pt idx="11">
                  <c:v>1946</c:v>
                </c:pt>
                <c:pt idx="12">
                  <c:v>2000</c:v>
                </c:pt>
                <c:pt idx="13">
                  <c:v>2194</c:v>
                </c:pt>
                <c:pt idx="14">
                  <c:v>2509</c:v>
                </c:pt>
                <c:pt idx="15">
                  <c:v>2594</c:v>
                </c:pt>
                <c:pt idx="16">
                  <c:v>2725</c:v>
                </c:pt>
                <c:pt idx="17">
                  <c:v>2735</c:v>
                </c:pt>
                <c:pt idx="18">
                  <c:v>3353</c:v>
                </c:pt>
                <c:pt idx="19">
                  <c:v>3364</c:v>
                </c:pt>
                <c:pt idx="20">
                  <c:v>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mielecki</c:v>
                </c:pt>
                <c:pt idx="11">
                  <c:v>łańcucki</c:v>
                </c:pt>
                <c:pt idx="12">
                  <c:v>sanocki</c:v>
                </c:pt>
                <c:pt idx="13">
                  <c:v>ropczycko-sędziszowski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290</c:v>
                </c:pt>
                <c:pt idx="1">
                  <c:v>538</c:v>
                </c:pt>
                <c:pt idx="2">
                  <c:v>610</c:v>
                </c:pt>
                <c:pt idx="3">
                  <c:v>616</c:v>
                </c:pt>
                <c:pt idx="4">
                  <c:v>739</c:v>
                </c:pt>
                <c:pt idx="5">
                  <c:v>765</c:v>
                </c:pt>
                <c:pt idx="6">
                  <c:v>880</c:v>
                </c:pt>
                <c:pt idx="7">
                  <c:v>916</c:v>
                </c:pt>
                <c:pt idx="8">
                  <c:v>988</c:v>
                </c:pt>
                <c:pt idx="9">
                  <c:v>1021</c:v>
                </c:pt>
                <c:pt idx="10">
                  <c:v>1257</c:v>
                </c:pt>
                <c:pt idx="11">
                  <c:v>1296</c:v>
                </c:pt>
                <c:pt idx="12">
                  <c:v>1333</c:v>
                </c:pt>
                <c:pt idx="13">
                  <c:v>1371</c:v>
                </c:pt>
                <c:pt idx="14">
                  <c:v>1519</c:v>
                </c:pt>
                <c:pt idx="15">
                  <c:v>1704</c:v>
                </c:pt>
                <c:pt idx="16">
                  <c:v>1724</c:v>
                </c:pt>
                <c:pt idx="17">
                  <c:v>1740</c:v>
                </c:pt>
                <c:pt idx="18">
                  <c:v>1910</c:v>
                </c:pt>
                <c:pt idx="19">
                  <c:v>1983</c:v>
                </c:pt>
                <c:pt idx="20">
                  <c:v>2415</c:v>
                </c:pt>
                <c:pt idx="21">
                  <c:v>2493</c:v>
                </c:pt>
                <c:pt idx="22">
                  <c:v>2661</c:v>
                </c:pt>
                <c:pt idx="23">
                  <c:v>2949</c:v>
                </c:pt>
                <c:pt idx="24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Przemyśl</c:v>
                </c:pt>
                <c:pt idx="6">
                  <c:v>kolbuszowski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sanocki</c:v>
                </c:pt>
                <c:pt idx="11">
                  <c:v>dębicki</c:v>
                </c:pt>
                <c:pt idx="12">
                  <c:v>łańcucki</c:v>
                </c:pt>
                <c:pt idx="13">
                  <c:v>przemyski</c:v>
                </c:pt>
                <c:pt idx="14">
                  <c:v>ropczycko-sędziszowski</c:v>
                </c:pt>
                <c:pt idx="15">
                  <c:v>mielecki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146</c:v>
                </c:pt>
                <c:pt idx="1">
                  <c:v>224</c:v>
                </c:pt>
                <c:pt idx="2">
                  <c:v>237</c:v>
                </c:pt>
                <c:pt idx="3">
                  <c:v>316</c:v>
                </c:pt>
                <c:pt idx="4">
                  <c:v>388</c:v>
                </c:pt>
                <c:pt idx="5">
                  <c:v>430</c:v>
                </c:pt>
                <c:pt idx="6">
                  <c:v>437</c:v>
                </c:pt>
                <c:pt idx="7">
                  <c:v>477</c:v>
                </c:pt>
                <c:pt idx="8">
                  <c:v>496</c:v>
                </c:pt>
                <c:pt idx="9">
                  <c:v>554</c:v>
                </c:pt>
                <c:pt idx="10">
                  <c:v>689</c:v>
                </c:pt>
                <c:pt idx="11">
                  <c:v>696</c:v>
                </c:pt>
                <c:pt idx="12">
                  <c:v>707</c:v>
                </c:pt>
                <c:pt idx="13">
                  <c:v>713</c:v>
                </c:pt>
                <c:pt idx="14">
                  <c:v>757</c:v>
                </c:pt>
                <c:pt idx="15">
                  <c:v>776</c:v>
                </c:pt>
                <c:pt idx="16">
                  <c:v>798</c:v>
                </c:pt>
                <c:pt idx="17">
                  <c:v>802</c:v>
                </c:pt>
                <c:pt idx="18">
                  <c:v>809</c:v>
                </c:pt>
                <c:pt idx="19">
                  <c:v>902</c:v>
                </c:pt>
                <c:pt idx="20">
                  <c:v>949</c:v>
                </c:pt>
                <c:pt idx="21">
                  <c:v>963</c:v>
                </c:pt>
                <c:pt idx="22">
                  <c:v>1063</c:v>
                </c:pt>
                <c:pt idx="23">
                  <c:v>1193</c:v>
                </c:pt>
                <c:pt idx="24">
                  <c:v>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Przemyśl</c:v>
                </c:pt>
                <c:pt idx="16">
                  <c:v>przeworski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niżański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173</c:v>
                </c:pt>
                <c:pt idx="1">
                  <c:v>243</c:v>
                </c:pt>
                <c:pt idx="2">
                  <c:v>292</c:v>
                </c:pt>
                <c:pt idx="3">
                  <c:v>351</c:v>
                </c:pt>
                <c:pt idx="4">
                  <c:v>377</c:v>
                </c:pt>
                <c:pt idx="5">
                  <c:v>388</c:v>
                </c:pt>
                <c:pt idx="6">
                  <c:v>457</c:v>
                </c:pt>
                <c:pt idx="7">
                  <c:v>503</c:v>
                </c:pt>
                <c:pt idx="8">
                  <c:v>542</c:v>
                </c:pt>
                <c:pt idx="9">
                  <c:v>555</c:v>
                </c:pt>
                <c:pt idx="10">
                  <c:v>581</c:v>
                </c:pt>
                <c:pt idx="11">
                  <c:v>605</c:v>
                </c:pt>
                <c:pt idx="12">
                  <c:v>619</c:v>
                </c:pt>
                <c:pt idx="13">
                  <c:v>674</c:v>
                </c:pt>
                <c:pt idx="14">
                  <c:v>675</c:v>
                </c:pt>
                <c:pt idx="15">
                  <c:v>675</c:v>
                </c:pt>
                <c:pt idx="16">
                  <c:v>681</c:v>
                </c:pt>
                <c:pt idx="17">
                  <c:v>700</c:v>
                </c:pt>
                <c:pt idx="18">
                  <c:v>735</c:v>
                </c:pt>
                <c:pt idx="19">
                  <c:v>737</c:v>
                </c:pt>
                <c:pt idx="20">
                  <c:v>910</c:v>
                </c:pt>
                <c:pt idx="21">
                  <c:v>1033</c:v>
                </c:pt>
                <c:pt idx="22">
                  <c:v>1109</c:v>
                </c:pt>
                <c:pt idx="23">
                  <c:v>1119</c:v>
                </c:pt>
                <c:pt idx="24">
                  <c:v>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przemyski</c:v>
                </c:pt>
                <c:pt idx="1">
                  <c:v>bieszczadzki</c:v>
                </c:pt>
                <c:pt idx="2">
                  <c:v>leski</c:v>
                </c:pt>
                <c:pt idx="3">
                  <c:v>brzozowski</c:v>
                </c:pt>
                <c:pt idx="4">
                  <c:v>Przemyśl</c:v>
                </c:pt>
                <c:pt idx="5">
                  <c:v>krośnieński</c:v>
                </c:pt>
                <c:pt idx="6">
                  <c:v>Krosno</c:v>
                </c:pt>
                <c:pt idx="7">
                  <c:v>sanocki</c:v>
                </c:pt>
                <c:pt idx="8">
                  <c:v>łańcucki</c:v>
                </c:pt>
                <c:pt idx="9">
                  <c:v>lubaczowski</c:v>
                </c:pt>
                <c:pt idx="10">
                  <c:v>niżański</c:v>
                </c:pt>
                <c:pt idx="11">
                  <c:v>Tarnobrzeg</c:v>
                </c:pt>
                <c:pt idx="12">
                  <c:v>kolbuszowski</c:v>
                </c:pt>
                <c:pt idx="13">
                  <c:v>leżajski</c:v>
                </c:pt>
                <c:pt idx="14">
                  <c:v>jarosławski</c:v>
                </c:pt>
                <c:pt idx="15">
                  <c:v>tarnobrzeski </c:v>
                </c:pt>
                <c:pt idx="16">
                  <c:v>ropczycko-sędziszowski</c:v>
                </c:pt>
                <c:pt idx="17">
                  <c:v>stalowowolski</c:v>
                </c:pt>
                <c:pt idx="18">
                  <c:v>przeworski</c:v>
                </c:pt>
                <c:pt idx="19">
                  <c:v>rzeszowski</c:v>
                </c:pt>
                <c:pt idx="20">
                  <c:v>strzyżowski</c:v>
                </c:pt>
                <c:pt idx="21">
                  <c:v>jasielski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35</c:v>
                </c:pt>
                <c:pt idx="1">
                  <c:v>38</c:v>
                </c:pt>
                <c:pt idx="2">
                  <c:v>48</c:v>
                </c:pt>
                <c:pt idx="3">
                  <c:v>59</c:v>
                </c:pt>
                <c:pt idx="4">
                  <c:v>63</c:v>
                </c:pt>
                <c:pt idx="5">
                  <c:v>70</c:v>
                </c:pt>
                <c:pt idx="6">
                  <c:v>72</c:v>
                </c:pt>
                <c:pt idx="7">
                  <c:v>80</c:v>
                </c:pt>
                <c:pt idx="8">
                  <c:v>83</c:v>
                </c:pt>
                <c:pt idx="9">
                  <c:v>85</c:v>
                </c:pt>
                <c:pt idx="10">
                  <c:v>86</c:v>
                </c:pt>
                <c:pt idx="11">
                  <c:v>89</c:v>
                </c:pt>
                <c:pt idx="12">
                  <c:v>98</c:v>
                </c:pt>
                <c:pt idx="13">
                  <c:v>102</c:v>
                </c:pt>
                <c:pt idx="14">
                  <c:v>116</c:v>
                </c:pt>
                <c:pt idx="15">
                  <c:v>116</c:v>
                </c:pt>
                <c:pt idx="16">
                  <c:v>137</c:v>
                </c:pt>
                <c:pt idx="17">
                  <c:v>152</c:v>
                </c:pt>
                <c:pt idx="18">
                  <c:v>168</c:v>
                </c:pt>
                <c:pt idx="19">
                  <c:v>184</c:v>
                </c:pt>
                <c:pt idx="20">
                  <c:v>192</c:v>
                </c:pt>
                <c:pt idx="21">
                  <c:v>233</c:v>
                </c:pt>
                <c:pt idx="22">
                  <c:v>287</c:v>
                </c:pt>
                <c:pt idx="23">
                  <c:v>312</c:v>
                </c:pt>
                <c:pt idx="24">
                  <c:v>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leski</c:v>
                </c:pt>
                <c:pt idx="1">
                  <c:v>krośnieński</c:v>
                </c:pt>
                <c:pt idx="2">
                  <c:v>przemyski</c:v>
                </c:pt>
                <c:pt idx="3">
                  <c:v>Tarnobrzeg</c:v>
                </c:pt>
                <c:pt idx="4">
                  <c:v>leżajski</c:v>
                </c:pt>
                <c:pt idx="5">
                  <c:v>bieszczadzki</c:v>
                </c:pt>
                <c:pt idx="6">
                  <c:v>ropczycko-sędziszowski</c:v>
                </c:pt>
                <c:pt idx="7">
                  <c:v>Krosno</c:v>
                </c:pt>
                <c:pt idx="8">
                  <c:v>rzeszowski</c:v>
                </c:pt>
                <c:pt idx="9">
                  <c:v>jarosławski</c:v>
                </c:pt>
                <c:pt idx="10">
                  <c:v>sanocki</c:v>
                </c:pt>
                <c:pt idx="11">
                  <c:v>Przemyśl</c:v>
                </c:pt>
                <c:pt idx="12">
                  <c:v>tarnobrzeski </c:v>
                </c:pt>
                <c:pt idx="13">
                  <c:v>przeworski</c:v>
                </c:pt>
                <c:pt idx="14">
                  <c:v>brzozowski</c:v>
                </c:pt>
                <c:pt idx="15">
                  <c:v>lubaczowski</c:v>
                </c:pt>
                <c:pt idx="16">
                  <c:v>kolbuszowski</c:v>
                </c:pt>
                <c:pt idx="17">
                  <c:v>łańcucki</c:v>
                </c:pt>
                <c:pt idx="18">
                  <c:v>niżański</c:v>
                </c:pt>
                <c:pt idx="19">
                  <c:v>stalowowolski</c:v>
                </c:pt>
                <c:pt idx="20">
                  <c:v>dębicki</c:v>
                </c:pt>
                <c:pt idx="21">
                  <c:v>mielecki</c:v>
                </c:pt>
                <c:pt idx="22">
                  <c:v>Rzeszów</c:v>
                </c:pt>
                <c:pt idx="23">
                  <c:v>jasielski</c:v>
                </c:pt>
                <c:pt idx="24">
                  <c:v>strzyżowski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19</c:v>
                </c:pt>
                <c:pt idx="1">
                  <c:v>26</c:v>
                </c:pt>
                <c:pt idx="2">
                  <c:v>27</c:v>
                </c:pt>
                <c:pt idx="3">
                  <c:v>27</c:v>
                </c:pt>
                <c:pt idx="4">
                  <c:v>28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39</c:v>
                </c:pt>
                <c:pt idx="10">
                  <c:v>42</c:v>
                </c:pt>
                <c:pt idx="11">
                  <c:v>42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51</c:v>
                </c:pt>
                <c:pt idx="16">
                  <c:v>55</c:v>
                </c:pt>
                <c:pt idx="17">
                  <c:v>57</c:v>
                </c:pt>
                <c:pt idx="18">
                  <c:v>58</c:v>
                </c:pt>
                <c:pt idx="19">
                  <c:v>67</c:v>
                </c:pt>
                <c:pt idx="20">
                  <c:v>69</c:v>
                </c:pt>
                <c:pt idx="21">
                  <c:v>73</c:v>
                </c:pt>
                <c:pt idx="22">
                  <c:v>76</c:v>
                </c:pt>
                <c:pt idx="23">
                  <c:v>89</c:v>
                </c:pt>
                <c:pt idx="2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według stanu na koniec miesiąca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Przemyśl</c:v>
                </c:pt>
                <c:pt idx="4">
                  <c:v>Krosno</c:v>
                </c:pt>
                <c:pt idx="5">
                  <c:v>leski</c:v>
                </c:pt>
                <c:pt idx="6">
                  <c:v>tarnobrzeski </c:v>
                </c:pt>
                <c:pt idx="7">
                  <c:v>łańcucki</c:v>
                </c:pt>
                <c:pt idx="8">
                  <c:v>kolbuszowski</c:v>
                </c:pt>
                <c:pt idx="9">
                  <c:v>sanocki</c:v>
                </c:pt>
                <c:pt idx="10">
                  <c:v>Tarnobrzeg</c:v>
                </c:pt>
                <c:pt idx="11">
                  <c:v>jarosławski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niżański</c:v>
                </c:pt>
                <c:pt idx="15">
                  <c:v>lubaczowski</c:v>
                </c:pt>
                <c:pt idx="16">
                  <c:v>stalowowolski</c:v>
                </c:pt>
                <c:pt idx="17">
                  <c:v>ropczycko-sędziszowski</c:v>
                </c:pt>
                <c:pt idx="18">
                  <c:v>rzeszowski</c:v>
                </c:pt>
                <c:pt idx="19">
                  <c:v>strzyżowski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dębicki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26</c:v>
                </c:pt>
                <c:pt idx="4">
                  <c:v>37</c:v>
                </c:pt>
                <c:pt idx="5">
                  <c:v>42</c:v>
                </c:pt>
                <c:pt idx="6">
                  <c:v>45</c:v>
                </c:pt>
                <c:pt idx="7">
                  <c:v>51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61</c:v>
                </c:pt>
                <c:pt idx="12">
                  <c:v>67</c:v>
                </c:pt>
                <c:pt idx="13">
                  <c:v>72</c:v>
                </c:pt>
                <c:pt idx="14">
                  <c:v>76</c:v>
                </c:pt>
                <c:pt idx="15">
                  <c:v>91</c:v>
                </c:pt>
                <c:pt idx="16">
                  <c:v>98</c:v>
                </c:pt>
                <c:pt idx="17">
                  <c:v>107</c:v>
                </c:pt>
                <c:pt idx="18">
                  <c:v>111</c:v>
                </c:pt>
                <c:pt idx="19">
                  <c:v>116</c:v>
                </c:pt>
                <c:pt idx="20">
                  <c:v>120</c:v>
                </c:pt>
                <c:pt idx="21">
                  <c:v>141</c:v>
                </c:pt>
                <c:pt idx="22">
                  <c:v>183</c:v>
                </c:pt>
                <c:pt idx="23">
                  <c:v>248</c:v>
                </c:pt>
                <c:pt idx="24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41275</xdr:colOff>
      <xdr:row>1</xdr:row>
      <xdr:rowOff>81491</xdr:rowOff>
    </xdr:from>
    <xdr:to>
      <xdr:col>19</xdr:col>
      <xdr:colOff>154782</xdr:colOff>
      <xdr:row>16</xdr:row>
      <xdr:rowOff>146050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154781</xdr:colOff>
      <xdr:row>17</xdr:row>
      <xdr:rowOff>142873</xdr:rowOff>
    </xdr:from>
    <xdr:to>
      <xdr:col>20</xdr:col>
      <xdr:colOff>23812</xdr:colOff>
      <xdr:row>39</xdr:row>
      <xdr:rowOff>166685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361949</xdr:colOff>
      <xdr:row>1</xdr:row>
      <xdr:rowOff>76200</xdr:rowOff>
    </xdr:from>
    <xdr:to>
      <xdr:col>23</xdr:col>
      <xdr:colOff>590550</xdr:colOff>
      <xdr:row>1</xdr:row>
      <xdr:rowOff>209550</xdr:rowOff>
    </xdr:to>
    <xdr:sp macro="" textlink="">
      <xdr:nvSpPr>
        <xdr:cNvPr id="5" name="Schemat blokowy: scalanie 4">
          <a:extLst>
            <a:ext uri="{FF2B5EF4-FFF2-40B4-BE49-F238E27FC236}">
              <a16:creationId xmlns:a16="http://schemas.microsoft.com/office/drawing/2014/main" id="{13DBE3A2-4823-4E59-A126-A234DEB0B024}"/>
            </a:ext>
          </a:extLst>
        </xdr:cNvPr>
        <xdr:cNvSpPr/>
      </xdr:nvSpPr>
      <xdr:spPr>
        <a:xfrm>
          <a:off x="2588418" y="254794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361949</xdr:colOff>
      <xdr:row>1</xdr:row>
      <xdr:rowOff>76200</xdr:rowOff>
    </xdr:from>
    <xdr:to>
      <xdr:col>28</xdr:col>
      <xdr:colOff>590550</xdr:colOff>
      <xdr:row>1</xdr:row>
      <xdr:rowOff>209550</xdr:rowOff>
    </xdr:to>
    <xdr:sp macro="" textlink="">
      <xdr:nvSpPr>
        <xdr:cNvPr id="7" name="Schemat blokowy: scalanie 6">
          <a:extLst>
            <a:ext uri="{FF2B5EF4-FFF2-40B4-BE49-F238E27FC236}">
              <a16:creationId xmlns:a16="http://schemas.microsoft.com/office/drawing/2014/main" id="{936A6CA6-42E8-4F8B-B5DD-51E4CCDCE993}"/>
            </a:ext>
          </a:extLst>
        </xdr:cNvPr>
        <xdr:cNvSpPr/>
      </xdr:nvSpPr>
      <xdr:spPr>
        <a:xfrm>
          <a:off x="17112342" y="253093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247383</xdr:colOff>
      <xdr:row>2</xdr:row>
      <xdr:rowOff>84402</xdr:rowOff>
    </xdr:from>
    <xdr:to>
      <xdr:col>18</xdr:col>
      <xdr:colOff>559593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52917</xdr:colOff>
      <xdr:row>2</xdr:row>
      <xdr:rowOff>21167</xdr:rowOff>
    </xdr:from>
    <xdr:to>
      <xdr:col>18</xdr:col>
      <xdr:colOff>412749</xdr:colOff>
      <xdr:row>19</xdr:row>
      <xdr:rowOff>130968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6.42578125" style="3" customWidth="1"/>
    <col min="4" max="4" width="15.28515625" style="3" customWidth="1"/>
    <col min="5" max="5" width="17.42578125" style="3" customWidth="1"/>
    <col min="6" max="6" width="16" style="3" customWidth="1"/>
    <col min="7" max="7" width="17.42578125" style="3" customWidth="1"/>
    <col min="8" max="8" width="6.28515625" style="3" customWidth="1"/>
    <col min="9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55" t="s">
        <v>27</v>
      </c>
      <c r="C2" s="56" t="s">
        <v>132</v>
      </c>
      <c r="D2" s="57" t="s">
        <v>120</v>
      </c>
      <c r="E2" s="56" t="s">
        <v>77</v>
      </c>
      <c r="F2" s="57" t="s">
        <v>127</v>
      </c>
      <c r="G2" s="56" t="s">
        <v>26</v>
      </c>
    </row>
    <row r="3" spans="2:7" x14ac:dyDescent="0.2">
      <c r="B3" s="5" t="s">
        <v>0</v>
      </c>
      <c r="C3" s="6">
        <v>973</v>
      </c>
      <c r="D3" s="61">
        <v>997</v>
      </c>
      <c r="E3" s="6">
        <f>SUM(C3)-D3</f>
        <v>-24</v>
      </c>
      <c r="F3" s="61">
        <v>1037</v>
      </c>
      <c r="G3" s="6">
        <f>SUM(C3)-F3</f>
        <v>-64</v>
      </c>
    </row>
    <row r="4" spans="2:7" x14ac:dyDescent="0.2">
      <c r="B4" s="5" t="s">
        <v>1</v>
      </c>
      <c r="C4" s="6">
        <v>3667</v>
      </c>
      <c r="D4" s="61">
        <v>3608</v>
      </c>
      <c r="E4" s="6">
        <f t="shared" ref="E4:E27" si="0">SUM(C4)-D4</f>
        <v>59</v>
      </c>
      <c r="F4" s="61">
        <v>3930</v>
      </c>
      <c r="G4" s="6">
        <f t="shared" ref="G4:G27" si="1">SUM(C4)-F4</f>
        <v>-263</v>
      </c>
    </row>
    <row r="5" spans="2:7" x14ac:dyDescent="0.2">
      <c r="B5" s="5" t="s">
        <v>2</v>
      </c>
      <c r="C5" s="6">
        <v>2398</v>
      </c>
      <c r="D5" s="61">
        <v>2386</v>
      </c>
      <c r="E5" s="6">
        <f t="shared" si="0"/>
        <v>12</v>
      </c>
      <c r="F5" s="61">
        <v>2386</v>
      </c>
      <c r="G5" s="6">
        <f t="shared" si="1"/>
        <v>12</v>
      </c>
    </row>
    <row r="6" spans="2:7" x14ac:dyDescent="0.2">
      <c r="B6" s="5" t="s">
        <v>3</v>
      </c>
      <c r="C6" s="6">
        <v>4215</v>
      </c>
      <c r="D6" s="61">
        <v>4222</v>
      </c>
      <c r="E6" s="6">
        <f t="shared" si="0"/>
        <v>-7</v>
      </c>
      <c r="F6" s="61">
        <v>4631</v>
      </c>
      <c r="G6" s="6">
        <f t="shared" si="1"/>
        <v>-416</v>
      </c>
    </row>
    <row r="7" spans="2:7" x14ac:dyDescent="0.2">
      <c r="B7" s="5" t="s">
        <v>4</v>
      </c>
      <c r="C7" s="6">
        <v>4772</v>
      </c>
      <c r="D7" s="61">
        <v>4709</v>
      </c>
      <c r="E7" s="6">
        <f t="shared" si="0"/>
        <v>63</v>
      </c>
      <c r="F7" s="61">
        <v>4681</v>
      </c>
      <c r="G7" s="6">
        <f t="shared" si="1"/>
        <v>91</v>
      </c>
    </row>
    <row r="8" spans="2:7" x14ac:dyDescent="0.2">
      <c r="B8" s="5" t="s">
        <v>5</v>
      </c>
      <c r="C8" s="6">
        <v>1511</v>
      </c>
      <c r="D8" s="61">
        <v>1528</v>
      </c>
      <c r="E8" s="6">
        <f t="shared" si="0"/>
        <v>-17</v>
      </c>
      <c r="F8" s="61">
        <v>1617</v>
      </c>
      <c r="G8" s="6">
        <f t="shared" si="1"/>
        <v>-106</v>
      </c>
    </row>
    <row r="9" spans="2:7" x14ac:dyDescent="0.2">
      <c r="B9" s="9" t="s">
        <v>6</v>
      </c>
      <c r="C9" s="6">
        <v>2126</v>
      </c>
      <c r="D9" s="61">
        <v>2095</v>
      </c>
      <c r="E9" s="6">
        <f t="shared" si="0"/>
        <v>31</v>
      </c>
      <c r="F9" s="61">
        <v>1857</v>
      </c>
      <c r="G9" s="6">
        <f t="shared" si="1"/>
        <v>269</v>
      </c>
    </row>
    <row r="10" spans="2:7" x14ac:dyDescent="0.2">
      <c r="B10" s="5" t="s">
        <v>7</v>
      </c>
      <c r="C10" s="6">
        <v>1541</v>
      </c>
      <c r="D10" s="61">
        <v>1510</v>
      </c>
      <c r="E10" s="6">
        <f t="shared" si="0"/>
        <v>31</v>
      </c>
      <c r="F10" s="61">
        <v>1560</v>
      </c>
      <c r="G10" s="6">
        <f t="shared" si="1"/>
        <v>-19</v>
      </c>
    </row>
    <row r="11" spans="2:7" x14ac:dyDescent="0.2">
      <c r="B11" s="5" t="s">
        <v>8</v>
      </c>
      <c r="C11" s="6">
        <v>2897</v>
      </c>
      <c r="D11" s="61">
        <v>2933</v>
      </c>
      <c r="E11" s="6">
        <f t="shared" si="0"/>
        <v>-36</v>
      </c>
      <c r="F11" s="61">
        <v>3221</v>
      </c>
      <c r="G11" s="6">
        <f t="shared" si="1"/>
        <v>-324</v>
      </c>
    </row>
    <row r="12" spans="2:7" x14ac:dyDescent="0.2">
      <c r="B12" s="5" t="s">
        <v>9</v>
      </c>
      <c r="C12" s="6">
        <v>1692</v>
      </c>
      <c r="D12" s="61">
        <v>1616</v>
      </c>
      <c r="E12" s="6">
        <f t="shared" si="0"/>
        <v>76</v>
      </c>
      <c r="F12" s="61">
        <v>1617</v>
      </c>
      <c r="G12" s="6">
        <f t="shared" si="1"/>
        <v>75</v>
      </c>
    </row>
    <row r="13" spans="2:7" x14ac:dyDescent="0.2">
      <c r="B13" s="5" t="s">
        <v>10</v>
      </c>
      <c r="C13" s="6">
        <v>2520</v>
      </c>
      <c r="D13" s="61">
        <v>2519</v>
      </c>
      <c r="E13" s="6">
        <f t="shared" si="0"/>
        <v>1</v>
      </c>
      <c r="F13" s="61">
        <v>2721</v>
      </c>
      <c r="G13" s="6">
        <f t="shared" si="1"/>
        <v>-201</v>
      </c>
    </row>
    <row r="14" spans="2:7" x14ac:dyDescent="0.2">
      <c r="B14" s="5" t="s">
        <v>11</v>
      </c>
      <c r="C14" s="6">
        <v>2918</v>
      </c>
      <c r="D14" s="61">
        <v>2837</v>
      </c>
      <c r="E14" s="6">
        <f t="shared" si="0"/>
        <v>81</v>
      </c>
      <c r="F14" s="61">
        <v>2648</v>
      </c>
      <c r="G14" s="6">
        <f t="shared" si="1"/>
        <v>270</v>
      </c>
    </row>
    <row r="15" spans="2:7" x14ac:dyDescent="0.2">
      <c r="B15" s="5" t="s">
        <v>12</v>
      </c>
      <c r="C15" s="6">
        <v>3011</v>
      </c>
      <c r="D15" s="61">
        <v>3032</v>
      </c>
      <c r="E15" s="6">
        <f t="shared" si="0"/>
        <v>-21</v>
      </c>
      <c r="F15" s="61">
        <v>3096</v>
      </c>
      <c r="G15" s="6">
        <f t="shared" si="1"/>
        <v>-85</v>
      </c>
    </row>
    <row r="16" spans="2:7" x14ac:dyDescent="0.2">
      <c r="B16" s="5" t="s">
        <v>13</v>
      </c>
      <c r="C16" s="6">
        <v>2757</v>
      </c>
      <c r="D16" s="61">
        <v>2740</v>
      </c>
      <c r="E16" s="6">
        <f t="shared" si="0"/>
        <v>17</v>
      </c>
      <c r="F16" s="61">
        <v>2924</v>
      </c>
      <c r="G16" s="6">
        <f t="shared" si="1"/>
        <v>-167</v>
      </c>
    </row>
    <row r="17" spans="2:7" x14ac:dyDescent="0.2">
      <c r="B17" s="5" t="s">
        <v>14</v>
      </c>
      <c r="C17" s="6">
        <v>3300</v>
      </c>
      <c r="D17" s="61">
        <v>3268</v>
      </c>
      <c r="E17" s="6">
        <f t="shared" si="0"/>
        <v>32</v>
      </c>
      <c r="F17" s="61">
        <v>3554</v>
      </c>
      <c r="G17" s="6">
        <f t="shared" si="1"/>
        <v>-254</v>
      </c>
    </row>
    <row r="18" spans="2:7" x14ac:dyDescent="0.2">
      <c r="B18" s="5" t="s">
        <v>15</v>
      </c>
      <c r="C18" s="6">
        <v>2594</v>
      </c>
      <c r="D18" s="61">
        <v>2569</v>
      </c>
      <c r="E18" s="6">
        <f t="shared" si="0"/>
        <v>25</v>
      </c>
      <c r="F18" s="61">
        <v>2943</v>
      </c>
      <c r="G18" s="6">
        <f t="shared" si="1"/>
        <v>-349</v>
      </c>
    </row>
    <row r="19" spans="2:7" x14ac:dyDescent="0.2">
      <c r="B19" s="5" t="s">
        <v>16</v>
      </c>
      <c r="C19" s="6">
        <v>4625</v>
      </c>
      <c r="D19" s="61">
        <v>4618</v>
      </c>
      <c r="E19" s="6">
        <f t="shared" si="0"/>
        <v>7</v>
      </c>
      <c r="F19" s="61">
        <v>4881</v>
      </c>
      <c r="G19" s="6">
        <f t="shared" si="1"/>
        <v>-256</v>
      </c>
    </row>
    <row r="20" spans="2:7" x14ac:dyDescent="0.2">
      <c r="B20" s="5" t="s">
        <v>17</v>
      </c>
      <c r="C20" s="6">
        <v>2664</v>
      </c>
      <c r="D20" s="61">
        <v>2657</v>
      </c>
      <c r="E20" s="6">
        <f t="shared" si="0"/>
        <v>7</v>
      </c>
      <c r="F20" s="61">
        <v>2489</v>
      </c>
      <c r="G20" s="6">
        <f t="shared" si="1"/>
        <v>175</v>
      </c>
    </row>
    <row r="21" spans="2:7" x14ac:dyDescent="0.2">
      <c r="B21" s="5" t="s">
        <v>18</v>
      </c>
      <c r="C21" s="6">
        <v>1923</v>
      </c>
      <c r="D21" s="61">
        <v>1891</v>
      </c>
      <c r="E21" s="6">
        <f t="shared" si="0"/>
        <v>32</v>
      </c>
      <c r="F21" s="61">
        <v>2003</v>
      </c>
      <c r="G21" s="6">
        <f t="shared" si="1"/>
        <v>-80</v>
      </c>
    </row>
    <row r="22" spans="2:7" x14ac:dyDescent="0.2">
      <c r="B22" s="5" t="s">
        <v>19</v>
      </c>
      <c r="C22" s="6">
        <v>3030</v>
      </c>
      <c r="D22" s="61">
        <v>3007</v>
      </c>
      <c r="E22" s="6">
        <f t="shared" si="0"/>
        <v>23</v>
      </c>
      <c r="F22" s="61">
        <v>3205</v>
      </c>
      <c r="G22" s="6">
        <f t="shared" si="1"/>
        <v>-175</v>
      </c>
    </row>
    <row r="23" spans="2:7" x14ac:dyDescent="0.2">
      <c r="B23" s="5" t="s">
        <v>20</v>
      </c>
      <c r="C23" s="6">
        <v>1268</v>
      </c>
      <c r="D23" s="61">
        <v>1233</v>
      </c>
      <c r="E23" s="6">
        <f t="shared" si="0"/>
        <v>35</v>
      </c>
      <c r="F23" s="61">
        <v>1307</v>
      </c>
      <c r="G23" s="6">
        <f t="shared" si="1"/>
        <v>-39</v>
      </c>
    </row>
    <row r="24" spans="2:7" x14ac:dyDescent="0.2">
      <c r="B24" s="5" t="s">
        <v>21</v>
      </c>
      <c r="C24" s="6">
        <v>781</v>
      </c>
      <c r="D24" s="61">
        <v>716</v>
      </c>
      <c r="E24" s="6">
        <f t="shared" si="0"/>
        <v>65</v>
      </c>
      <c r="F24" s="61">
        <v>748</v>
      </c>
      <c r="G24" s="6">
        <f t="shared" si="1"/>
        <v>33</v>
      </c>
    </row>
    <row r="25" spans="2:7" x14ac:dyDescent="0.2">
      <c r="B25" s="5" t="s">
        <v>22</v>
      </c>
      <c r="C25" s="6">
        <v>2343</v>
      </c>
      <c r="D25" s="61">
        <v>2374</v>
      </c>
      <c r="E25" s="6">
        <f t="shared" si="0"/>
        <v>-31</v>
      </c>
      <c r="F25" s="61">
        <v>2470</v>
      </c>
      <c r="G25" s="6">
        <f t="shared" si="1"/>
        <v>-127</v>
      </c>
    </row>
    <row r="26" spans="2:7" x14ac:dyDescent="0.2">
      <c r="B26" s="5" t="s">
        <v>23</v>
      </c>
      <c r="C26" s="6">
        <v>5257</v>
      </c>
      <c r="D26" s="61">
        <v>5304</v>
      </c>
      <c r="E26" s="6">
        <f t="shared" si="0"/>
        <v>-47</v>
      </c>
      <c r="F26" s="61">
        <v>5830</v>
      </c>
      <c r="G26" s="6">
        <f t="shared" si="1"/>
        <v>-573</v>
      </c>
    </row>
    <row r="27" spans="2:7" x14ac:dyDescent="0.2">
      <c r="B27" s="5" t="s">
        <v>24</v>
      </c>
      <c r="C27" s="6">
        <v>1078</v>
      </c>
      <c r="D27" s="61">
        <v>1075</v>
      </c>
      <c r="E27" s="6">
        <f t="shared" si="0"/>
        <v>3</v>
      </c>
      <c r="F27" s="61">
        <v>1128</v>
      </c>
      <c r="G27" s="6">
        <f t="shared" si="1"/>
        <v>-50</v>
      </c>
    </row>
    <row r="28" spans="2:7" ht="15" x14ac:dyDescent="0.25">
      <c r="B28" s="58" t="s">
        <v>25</v>
      </c>
      <c r="C28" s="59">
        <f>SUM(C3:C27)</f>
        <v>65861</v>
      </c>
      <c r="D28" s="60">
        <f>SUM(D3:D27)</f>
        <v>65444</v>
      </c>
      <c r="E28" s="59">
        <f>SUM(C28)-D28</f>
        <v>417</v>
      </c>
      <c r="F28" s="60">
        <f>SUM(F3:F27)</f>
        <v>68484</v>
      </c>
      <c r="G28" s="59">
        <f>SUM(C28)-F28</f>
        <v>-2623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</sheetPr>
  <dimension ref="B1:AC30"/>
  <sheetViews>
    <sheetView zoomScale="70" zoomScaleNormal="7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" style="3" customWidth="1"/>
    <col min="4" max="4" width="15" style="3" customWidth="1"/>
    <col min="5" max="5" width="14.42578125" style="3" customWidth="1"/>
    <col min="6" max="6" width="14.85546875" style="3" customWidth="1"/>
    <col min="7" max="7" width="15.5703125" style="3" customWidth="1"/>
    <col min="8" max="8" width="17" style="3" customWidth="1"/>
    <col min="9" max="9" width="3.5703125" style="3" customWidth="1"/>
    <col min="10" max="19" width="9.140625" style="3"/>
    <col min="20" max="20" width="2.7109375" style="3" customWidth="1"/>
    <col min="21" max="22" width="9.140625" style="3"/>
    <col min="23" max="23" width="16.5703125" style="3" customWidth="1"/>
    <col min="24" max="24" width="16.42578125" style="3" customWidth="1"/>
    <col min="25" max="25" width="5.5703125" style="3" customWidth="1"/>
    <col min="26" max="26" width="3.28515625" style="3" customWidth="1"/>
    <col min="27" max="27" width="9.140625" style="3"/>
    <col min="28" max="28" width="18.7109375" style="3" customWidth="1"/>
    <col min="29" max="16384" width="9.140625" style="3"/>
  </cols>
  <sheetData>
    <row r="1" spans="2:29" x14ac:dyDescent="0.2">
      <c r="B1" s="2" t="s">
        <v>32</v>
      </c>
      <c r="V1" s="2" t="s">
        <v>103</v>
      </c>
      <c r="AA1" s="2" t="s">
        <v>156</v>
      </c>
    </row>
    <row r="2" spans="2:29" ht="15" x14ac:dyDescent="0.2">
      <c r="C2" s="20"/>
      <c r="D2" s="21"/>
      <c r="W2" s="20"/>
      <c r="X2" s="21"/>
      <c r="Y2" s="21"/>
      <c r="AB2" s="20"/>
      <c r="AC2" s="21"/>
    </row>
    <row r="3" spans="2:29" ht="69" customHeight="1" x14ac:dyDescent="0.2">
      <c r="B3" s="62" t="s">
        <v>88</v>
      </c>
      <c r="C3" s="55" t="str">
        <f>T('1bezr.'!B2)</f>
        <v>powiaty</v>
      </c>
      <c r="D3" s="56" t="str">
        <f>T('1bezr.'!C2)</f>
        <v>liczba bezrobotnych ogółem stan na 31 VIII '23 r.</v>
      </c>
      <c r="E3" s="57" t="str">
        <f>T('1bezr.'!D2)</f>
        <v>liczba bezrobotnych ogółem stan na 31 VII '23 r.</v>
      </c>
      <c r="F3" s="56" t="str">
        <f>T('1bezr.'!E2)</f>
        <v>wzrost/spadek do miesiąca poprzedniego</v>
      </c>
      <c r="G3" s="57" t="str">
        <f>T('1bezr.'!F2)</f>
        <v>liczba bezrobotnych ogółem stan na 31 VIII '22 r.</v>
      </c>
      <c r="H3" s="56" t="str">
        <f>T('1bezr.'!G2)</f>
        <v>wzrost/spadek do analogicznego okresu ubr.</v>
      </c>
      <c r="V3" s="62" t="s">
        <v>88</v>
      </c>
      <c r="W3" s="55" t="str">
        <f>T('1bezr.'!B2)</f>
        <v>powiaty</v>
      </c>
      <c r="X3" s="56" t="str">
        <f>T('1bezr.'!E2)</f>
        <v>wzrost/spadek do miesiąca poprzedniego</v>
      </c>
      <c r="Y3" s="56"/>
      <c r="AA3" s="62" t="s">
        <v>88</v>
      </c>
      <c r="AB3" s="55" t="str">
        <f>T('1bezr.'!C2)</f>
        <v>liczba bezrobotnych ogółem stan na 31 VIII '23 r.</v>
      </c>
      <c r="AC3" s="56" t="str">
        <f>T('1bezr.'!I2)</f>
        <v/>
      </c>
    </row>
    <row r="4" spans="2:29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781</v>
      </c>
      <c r="E4" s="61">
        <f>INDEX('1bezr.'!B3:G28,MATCH(1,B4:B29,0),3)</f>
        <v>716</v>
      </c>
      <c r="F4" s="6">
        <f>INDEX('1bezr.'!B3:G28,MATCH(1,B4:B29,0),4)</f>
        <v>65</v>
      </c>
      <c r="G4" s="61">
        <f>INDEX('1bezr.'!B3:G28,MATCH(1,B4:B29,0),5)</f>
        <v>748</v>
      </c>
      <c r="H4" s="6">
        <f>INDEX('1bezr.'!B3:G28,MATCH(1,B4:B29,0),6)</f>
        <v>33</v>
      </c>
      <c r="V4" s="6">
        <f>RANK('1bezr.'!E3,'1bezr.'!$E$3:'1bezr.'!$E$28,1)+COUNTIF('1bezr.'!$E$3:'1bezr.'!E3,'1bezr.'!E3)-1</f>
        <v>4</v>
      </c>
      <c r="W4" s="80" t="str">
        <f>INDEX('1bezr.'!B3:G28,MATCH(1,V4:V29,0),1)</f>
        <v>Rzeszów</v>
      </c>
      <c r="X4" s="79">
        <f>INDEX('1bezr.'!E3:G28,MATCH(1,V4:V29,0),1)</f>
        <v>-47</v>
      </c>
      <c r="Y4" s="193">
        <v>1</v>
      </c>
      <c r="AA4" s="6">
        <f>RANK('1bezr.'!C3,'1bezr.'!$C$3:'1bezr.'!$C$28,1)+COUNTIF('1bezr.'!$C$3:'1bezr.'!C3,'1bezr.'!C3)-1</f>
        <v>2</v>
      </c>
      <c r="AB4" s="80" t="str">
        <f>INDEX('1bezr.'!B3:G28,MATCH(25,AA4:AA29,0),1)</f>
        <v>Rzeszów</v>
      </c>
      <c r="AC4" s="6">
        <f>INDEX('1bezr.'!B3:G28,MATCH(25,AA4:AA29,0),2)</f>
        <v>5257</v>
      </c>
    </row>
    <row r="5" spans="2:29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973</v>
      </c>
      <c r="E5" s="61">
        <f>INDEX('1bezr.'!B3:G28,MATCH(2,B4:B29,0),3)</f>
        <v>997</v>
      </c>
      <c r="F5" s="6">
        <f>INDEX('1bezr.'!B3:G28,MATCH(2,B4:B29,0),4)</f>
        <v>-24</v>
      </c>
      <c r="G5" s="61">
        <f>INDEX('1bezr.'!B3:G28,MATCH(2,B4:B29,0),5)</f>
        <v>1037</v>
      </c>
      <c r="H5" s="6">
        <f>INDEX('1bezr.'!B3:G28,MATCH(2,B4:B29,0),6)</f>
        <v>-64</v>
      </c>
      <c r="V5" s="6">
        <f>RANK('1bezr.'!E4,'1bezr.'!$E$3:'1bezr.'!$E$28,1)+COUNTIF('1bezr.'!$E$3:'1bezr.'!E4,'1bezr.'!E4)-1</f>
        <v>21</v>
      </c>
      <c r="W5" s="80" t="str">
        <f>INDEX('1bezr.'!B3:G28,MATCH(2,V4:V29,0),1)</f>
        <v>leżajski</v>
      </c>
      <c r="X5" s="6">
        <f>INDEX('1bezr.'!E3:G28,MATCH(2,V4:V29,0),1)</f>
        <v>-36</v>
      </c>
      <c r="Y5" s="194">
        <v>2</v>
      </c>
      <c r="AA5" s="6">
        <f>RANK('1bezr.'!C4,'1bezr.'!$C$3:'1bezr.'!$C$28,1)+COUNTIF('1bezr.'!$C$3:'1bezr.'!C4,'1bezr.'!C4)-1</f>
        <v>21</v>
      </c>
      <c r="AB5" s="80" t="str">
        <f>INDEX('1bezr.'!B3:G28,MATCH(24,AA4:AA29,0),1)</f>
        <v>jasielski</v>
      </c>
      <c r="AC5" s="6">
        <f>INDEX('1bezr.'!B3:K28,MATCH(24,AA4:AA29,0),2)</f>
        <v>4772</v>
      </c>
    </row>
    <row r="6" spans="2:29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1078</v>
      </c>
      <c r="E6" s="61">
        <f>INDEX('1bezr.'!B3:G28,MATCH(3,B4:B29,0),3)</f>
        <v>1075</v>
      </c>
      <c r="F6" s="6">
        <f>INDEX('1bezr.'!B3:G28,MATCH(3,B4:B29,0),4)</f>
        <v>3</v>
      </c>
      <c r="G6" s="61">
        <f>INDEX('1bezr.'!B3:G28,MATCH(3,B4:B29,0),5)</f>
        <v>1128</v>
      </c>
      <c r="H6" s="6">
        <f>INDEX('1bezr.'!B3:G28,MATCH(3,B4:B29,0),6)</f>
        <v>-50</v>
      </c>
      <c r="V6" s="6">
        <f>RANK('1bezr.'!E5,'1bezr.'!$E$3:'1bezr.'!$E$28,1)+COUNTIF('1bezr.'!$E$3:'1bezr.'!E5,'1bezr.'!E5)-1</f>
        <v>12</v>
      </c>
      <c r="W6" s="80" t="str">
        <f>INDEX('1bezr.'!B3:G28,MATCH(3,V4:V29,0),1)</f>
        <v>Przemyśl</v>
      </c>
      <c r="X6" s="6">
        <f>INDEX('1bezr.'!E3:G28,MATCH(3,V4:V29,0),1)</f>
        <v>-31</v>
      </c>
      <c r="Y6" s="194">
        <v>3</v>
      </c>
      <c r="AA6" s="6">
        <f>RANK('1bezr.'!C5,'1bezr.'!$C$3:'1bezr.'!$C$28,1)+COUNTIF('1bezr.'!$C$3:'1bezr.'!C5,'1bezr.'!C5)-1</f>
        <v>11</v>
      </c>
      <c r="AB6" s="80" t="str">
        <f>INDEX('1bezr.'!B3:G28,MATCH(23,AA4:AA29,0),1)</f>
        <v>rzeszowski</v>
      </c>
      <c r="AC6" s="6">
        <f>INDEX('1bezr.'!B3:K28,MATCH(23,AA4:AA29,0),2)</f>
        <v>4625</v>
      </c>
    </row>
    <row r="7" spans="2:29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1268</v>
      </c>
      <c r="E7" s="61">
        <f>INDEX('1bezr.'!B3:G28,MATCH(4,B4:B29,0),3)</f>
        <v>1233</v>
      </c>
      <c r="F7" s="6">
        <f>INDEX('1bezr.'!B3:G28,MATCH(4,B4:B29,0),4)</f>
        <v>35</v>
      </c>
      <c r="G7" s="61">
        <f>INDEX('1bezr.'!B3:G28,MATCH(4,B4:B29,0),5)</f>
        <v>1307</v>
      </c>
      <c r="H7" s="6">
        <f>INDEX('1bezr.'!B3:G28,MATCH(4,B4:B29,0),6)</f>
        <v>-39</v>
      </c>
      <c r="V7" s="6">
        <f>RANK('1bezr.'!E6,'1bezr.'!$E$3:'1bezr.'!$E$28,1)+COUNTIF('1bezr.'!$E$3:'1bezr.'!E6,'1bezr.'!E6)-1</f>
        <v>7</v>
      </c>
      <c r="W7" s="80" t="str">
        <f>INDEX('1bezr.'!B3:G28,MATCH(4,V4:V29,0),1)</f>
        <v>bieszczadzki</v>
      </c>
      <c r="X7" s="6">
        <f>INDEX('1bezr.'!E3:G28,MATCH(4,V4:V29,0),1)</f>
        <v>-24</v>
      </c>
      <c r="Y7" s="194">
        <v>4</v>
      </c>
      <c r="AA7" s="6">
        <f>RANK('1bezr.'!C6,'1bezr.'!$C$3:'1bezr.'!$C$28,1)+COUNTIF('1bezr.'!$C$3:'1bezr.'!C6,'1bezr.'!C6)-1</f>
        <v>22</v>
      </c>
      <c r="AB7" s="80" t="str">
        <f>INDEX('1bezr.'!B3:G28,MATCH(22,AA4:AA29,0),1)</f>
        <v>jarosławski</v>
      </c>
      <c r="AC7" s="6">
        <f>INDEX('1bezr.'!B3:K28,MATCH(22,AA4:AA29,0),2)</f>
        <v>4215</v>
      </c>
    </row>
    <row r="8" spans="2:29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1511</v>
      </c>
      <c r="E8" s="61">
        <f>INDEX('1bezr.'!B3:G28,MATCH(5,B4:B29,0),3)</f>
        <v>1528</v>
      </c>
      <c r="F8" s="6">
        <f>INDEX('1bezr.'!B3:G28,MATCH(5,B4:B29,0),4)</f>
        <v>-17</v>
      </c>
      <c r="G8" s="61">
        <f>INDEX('1bezr.'!B3:G28,MATCH(5,B4:B29,0),5)</f>
        <v>1617</v>
      </c>
      <c r="H8" s="6">
        <f>INDEX('1bezr.'!B3:G28,MATCH(5,B4:B29,0),6)</f>
        <v>-106</v>
      </c>
      <c r="V8" s="6">
        <f>RANK('1bezr.'!E7,'1bezr.'!$E$3:'1bezr.'!$E$28,1)+COUNTIF('1bezr.'!$E$3:'1bezr.'!E7,'1bezr.'!E7)-1</f>
        <v>22</v>
      </c>
      <c r="W8" s="80" t="str">
        <f>INDEX('1bezr.'!B3:G28,MATCH(5,V4:V29,0),1)</f>
        <v>niżański</v>
      </c>
      <c r="X8" s="6">
        <f>INDEX('1bezr.'!E3:G28,MATCH(5,V4:V29,0),1)</f>
        <v>-21</v>
      </c>
      <c r="Y8" s="194">
        <v>5</v>
      </c>
      <c r="AA8" s="6">
        <f>RANK('1bezr.'!C7,'1bezr.'!$C$3:'1bezr.'!$C$28,1)+COUNTIF('1bezr.'!$C$3:'1bezr.'!C7,'1bezr.'!C7)-1</f>
        <v>24</v>
      </c>
      <c r="AB8" s="80" t="str">
        <f>INDEX('1bezr.'!B3:G28,MATCH(21,AA4:AA29,0),1)</f>
        <v>brzozowski</v>
      </c>
      <c r="AC8" s="6">
        <f>INDEX('1bezr.'!B3:K28,MATCH(21,AA4:AA29,0),2)</f>
        <v>3667</v>
      </c>
    </row>
    <row r="9" spans="2:29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1541</v>
      </c>
      <c r="E9" s="61">
        <f>INDEX('1bezr.'!B3:G28,MATCH(6,B4:B29,0),3)</f>
        <v>1510</v>
      </c>
      <c r="F9" s="6">
        <f>INDEX('1bezr.'!B3:G28,MATCH(6,B4:B29,0),4)</f>
        <v>31</v>
      </c>
      <c r="G9" s="61">
        <f>INDEX('1bezr.'!B3:G28,MATCH(6,B4:B29,0),5)</f>
        <v>1560</v>
      </c>
      <c r="H9" s="6">
        <f>INDEX('1bezr.'!B3:G28,MATCH(6,B4:B29,0),6)</f>
        <v>-19</v>
      </c>
      <c r="V9" s="6">
        <f>RANK('1bezr.'!E8,'1bezr.'!$E$3:'1bezr.'!$E$28,1)+COUNTIF('1bezr.'!$E$3:'1bezr.'!E8,'1bezr.'!E8)-1</f>
        <v>6</v>
      </c>
      <c r="W9" s="80" t="str">
        <f>INDEX('1bezr.'!B3:G28,MATCH(6,V4:V29,0),1)</f>
        <v>kolbuszowski</v>
      </c>
      <c r="X9" s="6">
        <f>INDEX('1bezr.'!E3:G28,MATCH(6,V4:V29,0),1)</f>
        <v>-17</v>
      </c>
      <c r="Y9" s="194">
        <v>6</v>
      </c>
      <c r="AA9" s="6">
        <f>RANK('1bezr.'!C8,'1bezr.'!$C$3:'1bezr.'!$C$28,1)+COUNTIF('1bezr.'!$C$3:'1bezr.'!C8,'1bezr.'!C8)-1</f>
        <v>5</v>
      </c>
      <c r="AB9" s="80" t="str">
        <f>INDEX('1bezr.'!B3:G28,MATCH(20,AA4:AA29,0),1)</f>
        <v>przeworski</v>
      </c>
      <c r="AC9" s="6">
        <f>INDEX('1bezr.'!B3:K28,MATCH(20,AA4:AA29,0),2)</f>
        <v>3300</v>
      </c>
    </row>
    <row r="10" spans="2:29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1692</v>
      </c>
      <c r="E10" s="61">
        <f>INDEX('1bezr.'!B3:G28,MATCH(7,B4:B29,0),3)</f>
        <v>1616</v>
      </c>
      <c r="F10" s="6">
        <f>INDEX('1bezr.'!B3:G28,MATCH(7,B4:B29,0),4)</f>
        <v>76</v>
      </c>
      <c r="G10" s="61">
        <f>INDEX('1bezr.'!B3:G28,MATCH(7,B4:B29,0),5)</f>
        <v>1617</v>
      </c>
      <c r="H10" s="6">
        <f>INDEX('1bezr.'!B3:G28,MATCH(7,B4:B29,0),6)</f>
        <v>75</v>
      </c>
      <c r="V10" s="6">
        <f>RANK('1bezr.'!E9,'1bezr.'!$E$3:'1bezr.'!$E$28,1)+COUNTIF('1bezr.'!$E$3:'1bezr.'!E9,'1bezr.'!E9)-1</f>
        <v>16</v>
      </c>
      <c r="W10" s="81" t="str">
        <f>INDEX('1bezr.'!B3:G28,MATCH(7,V4:V29,0),1)</f>
        <v>jarosławski</v>
      </c>
      <c r="X10" s="6">
        <f>INDEX('1bezr.'!E3:G28,MATCH(7,V4:V29,0),1)</f>
        <v>-7</v>
      </c>
      <c r="Y10" s="194">
        <v>7</v>
      </c>
      <c r="AA10" s="6">
        <f>RANK('1bezr.'!C9,'1bezr.'!$C$3:'1bezr.'!$C$28,1)+COUNTIF('1bezr.'!$C$3:'1bezr.'!C9,'1bezr.'!C9)-1</f>
        <v>9</v>
      </c>
      <c r="AB10" s="81" t="str">
        <f>INDEX('1bezr.'!B3:G28,MATCH(19,AA4:AA29,0),1)</f>
        <v>strzyżowski</v>
      </c>
      <c r="AC10" s="6">
        <f>INDEX('1bezr.'!B3:K28,MATCH(19,AA4:AA29,0),2)</f>
        <v>3030</v>
      </c>
    </row>
    <row r="11" spans="2:29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1923</v>
      </c>
      <c r="E11" s="61">
        <f>INDEX('1bezr.'!B3:G28,MATCH(8,B4:B29,0),3)</f>
        <v>1891</v>
      </c>
      <c r="F11" s="6">
        <f>INDEX('1bezr.'!B3:G28,MATCH(8,B4:B29,0),4)</f>
        <v>32</v>
      </c>
      <c r="G11" s="61">
        <f>INDEX('1bezr.'!B3:G28,MATCH(8,B4:B29,0),5)</f>
        <v>2003</v>
      </c>
      <c r="H11" s="6">
        <f>INDEX('1bezr.'!B3:G28,MATCH(8,B4:B29,0),6)</f>
        <v>-80</v>
      </c>
      <c r="V11" s="6">
        <f>RANK('1bezr.'!E10,'1bezr.'!$E$3:'1bezr.'!$E$28,1)+COUNTIF('1bezr.'!$E$3:'1bezr.'!E10,'1bezr.'!E10)-1</f>
        <v>17</v>
      </c>
      <c r="W11" s="195" t="str">
        <f>INDEX('1bezr.'!B3:G28,MATCH(8,V4:V29,0),1)</f>
        <v>łańcucki</v>
      </c>
      <c r="X11" s="196">
        <f>INDEX('1bezr.'!E3:G28,MATCH(8,V4:V29,0),1)</f>
        <v>1</v>
      </c>
      <c r="Y11" s="196">
        <v>1</v>
      </c>
      <c r="AA11" s="6">
        <f>RANK('1bezr.'!C10,'1bezr.'!$C$3:'1bezr.'!$C$28,1)+COUNTIF('1bezr.'!$C$3:'1bezr.'!C10,'1bezr.'!C10)-1</f>
        <v>6</v>
      </c>
      <c r="AB11" s="80" t="str">
        <f>INDEX('1bezr.'!B3:G28,MATCH(18,AA4:AA29,0),1)</f>
        <v>niżański</v>
      </c>
      <c r="AC11" s="6">
        <f>INDEX('1bezr.'!B3:K28,MATCH(18,AA4:AA29,0),2)</f>
        <v>3011</v>
      </c>
    </row>
    <row r="12" spans="2:29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krośnieński</v>
      </c>
      <c r="D12" s="6">
        <f>INDEX('1bezr.'!B3:G28,MATCH(9,B4:B29,0),2)</f>
        <v>2126</v>
      </c>
      <c r="E12" s="61">
        <f>INDEX('1bezr.'!B3:G28,MATCH(9,B4:B29,0),3)</f>
        <v>2095</v>
      </c>
      <c r="F12" s="6">
        <f>INDEX('1bezr.'!B3:G28,MATCH(9,B4:B29,0),4)</f>
        <v>31</v>
      </c>
      <c r="G12" s="61">
        <f>INDEX('1bezr.'!B3:G28,MATCH(9,B4:B29,0),5)</f>
        <v>1857</v>
      </c>
      <c r="H12" s="6">
        <f>INDEX('1bezr.'!B3:G28,MATCH(9,B4:B29,0),6)</f>
        <v>269</v>
      </c>
      <c r="V12" s="6">
        <f>RANK('1bezr.'!E11,'1bezr.'!$E$3:'1bezr.'!$E$28,1)+COUNTIF('1bezr.'!$E$3:'1bezr.'!E11,'1bezr.'!E11)-1</f>
        <v>2</v>
      </c>
      <c r="W12" s="195" t="str">
        <f>INDEX('1bezr.'!B3:G28,MATCH(9,V4:V29,0),1)</f>
        <v>Tarnobrzeg</v>
      </c>
      <c r="X12" s="196">
        <f>INDEX('1bezr.'!E3:G28,MATCH(9,V4:V29,0),1)</f>
        <v>3</v>
      </c>
      <c r="Y12" s="196">
        <v>2</v>
      </c>
      <c r="AA12" s="6">
        <f>RANK('1bezr.'!C11,'1bezr.'!$C$3:'1bezr.'!$C$28,1)+COUNTIF('1bezr.'!$C$3:'1bezr.'!C11,'1bezr.'!C11)-1</f>
        <v>16</v>
      </c>
      <c r="AB12" s="80" t="str">
        <f>INDEX('1bezr.'!B3:G28,MATCH(17,AA4:AA29,0),1)</f>
        <v>mielecki</v>
      </c>
      <c r="AC12" s="6">
        <f>INDEX('1bezr.'!B3:K28,MATCH(17,AA4:AA29,0),2)</f>
        <v>2918</v>
      </c>
    </row>
    <row r="13" spans="2:29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2343</v>
      </c>
      <c r="E13" s="61">
        <f>INDEX('1bezr.'!B3:G28,MATCH(10,B4:B29,0),3)</f>
        <v>2374</v>
      </c>
      <c r="F13" s="6">
        <f>INDEX('1bezr.'!B3:G28,MATCH(10,B4:B29,0),4)</f>
        <v>-31</v>
      </c>
      <c r="G13" s="61">
        <f>INDEX('1bezr.'!B3:G28,MATCH(10,B4:B29,0),5)</f>
        <v>2470</v>
      </c>
      <c r="H13" s="6">
        <f>INDEX('1bezr.'!B3:G28,MATCH(10,B4:B29,0),6)</f>
        <v>-127</v>
      </c>
      <c r="V13" s="6">
        <f>RANK('1bezr.'!E12,'1bezr.'!$E$3:'1bezr.'!$E$28,1)+COUNTIF('1bezr.'!$E$3:'1bezr.'!E12,'1bezr.'!E12)-1</f>
        <v>24</v>
      </c>
      <c r="W13" s="195" t="str">
        <f>INDEX('1bezr.'!B3:G28,MATCH(10,V4:V29,0),1)</f>
        <v>rzeszowski</v>
      </c>
      <c r="X13" s="196">
        <f>INDEX('1bezr.'!E3:G28,MATCH(10,V4:V29,0),1)</f>
        <v>7</v>
      </c>
      <c r="Y13" s="196">
        <v>3</v>
      </c>
      <c r="AA13" s="6">
        <f>RANK('1bezr.'!C12,'1bezr.'!$C$3:'1bezr.'!$C$28,1)+COUNTIF('1bezr.'!$C$3:'1bezr.'!C12,'1bezr.'!C12)-1</f>
        <v>7</v>
      </c>
      <c r="AB13" s="80" t="str">
        <f>INDEX('1bezr.'!B3:G28,MATCH(16,AA4:AA29,0),1)</f>
        <v>leżajski</v>
      </c>
      <c r="AC13" s="6">
        <f>INDEX('1bezr.'!B3:K28,MATCH(16,AA4:AA29,0),2)</f>
        <v>2897</v>
      </c>
    </row>
    <row r="14" spans="2:29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2398</v>
      </c>
      <c r="E14" s="61">
        <f>INDEX('1bezr.'!B3:G28,MATCH(11,B4:B29,0),3)</f>
        <v>2386</v>
      </c>
      <c r="F14" s="6">
        <f>INDEX('1bezr.'!B3:G28,MATCH(11,B4:B29,0),4)</f>
        <v>12</v>
      </c>
      <c r="G14" s="61">
        <f>INDEX('1bezr.'!B3:G28,MATCH(11,B4:B29,0),5)</f>
        <v>2386</v>
      </c>
      <c r="H14" s="6">
        <f>INDEX('1bezr.'!B3:G28,MATCH(11,B4:B29,0),6)</f>
        <v>12</v>
      </c>
      <c r="V14" s="6">
        <f>RANK('1bezr.'!E13,'1bezr.'!$E$3:'1bezr.'!$E$28,1)+COUNTIF('1bezr.'!$E$3:'1bezr.'!E13,'1bezr.'!E13)-1</f>
        <v>8</v>
      </c>
      <c r="W14" s="195" t="str">
        <f>INDEX('1bezr.'!B3:G28,MATCH(11,V4:V29,0),1)</f>
        <v>sanocki</v>
      </c>
      <c r="X14" s="196">
        <f>INDEX('1bezr.'!E3:G28,MATCH(11,V4:V29,0),1)</f>
        <v>7</v>
      </c>
      <c r="Y14" s="196">
        <v>4</v>
      </c>
      <c r="AA14" s="6">
        <f>RANK('1bezr.'!C13,'1bezr.'!$C$3:'1bezr.'!$C$28,1)+COUNTIF('1bezr.'!$C$3:'1bezr.'!C13,'1bezr.'!C13)-1</f>
        <v>12</v>
      </c>
      <c r="AB14" s="80" t="str">
        <f>INDEX('1bezr.'!B3:G28,MATCH(15,AA4:AA29,0),1)</f>
        <v>przemyski</v>
      </c>
      <c r="AC14" s="6">
        <f>INDEX('1bezr.'!B3:K28,MATCH(15,AA4:AA29,0),2)</f>
        <v>2757</v>
      </c>
    </row>
    <row r="15" spans="2:29" x14ac:dyDescent="0.2">
      <c r="B15" s="6">
        <f>RANK('1bezr.'!C14,'1bezr.'!$C$3:'1bezr.'!$C$28,1)+COUNTIF('1bezr.'!$C$3:'1bezr.'!C14,'1bezr.'!C14)-1</f>
        <v>17</v>
      </c>
      <c r="C15" s="5" t="str">
        <f>INDEX('1bezr.'!B3:G28,MATCH(12,B4:B29,0),1)</f>
        <v>łańcucki</v>
      </c>
      <c r="D15" s="6">
        <f>INDEX('1bezr.'!B3:G28,MATCH(12,B4:B29,0),2)</f>
        <v>2520</v>
      </c>
      <c r="E15" s="61">
        <f>INDEX('1bezr.'!B3:G28,MATCH(12,B4:B29,0),3)</f>
        <v>2519</v>
      </c>
      <c r="F15" s="6">
        <f>INDEX('1bezr.'!B3:G28,MATCH(12,B4:B29,0),4)</f>
        <v>1</v>
      </c>
      <c r="G15" s="61">
        <f>INDEX('1bezr.'!B3:G28,MATCH(12,B4:B29,0),5)</f>
        <v>2721</v>
      </c>
      <c r="H15" s="6">
        <f>INDEX('1bezr.'!B3:G28,MATCH(12,B4:B29,0),6)</f>
        <v>-201</v>
      </c>
      <c r="V15" s="6">
        <f>RANK('1bezr.'!E14,'1bezr.'!$E$3:'1bezr.'!$E$28,1)+COUNTIF('1bezr.'!$E$3:'1bezr.'!E14,'1bezr.'!E14)-1</f>
        <v>25</v>
      </c>
      <c r="W15" s="195" t="str">
        <f>INDEX('1bezr.'!B3:G28,MATCH(12,V4:V29,0),1)</f>
        <v>dębicki</v>
      </c>
      <c r="X15" s="196">
        <f>INDEX('1bezr.'!E3:G28,MATCH(12,V4:V29,0),1)</f>
        <v>12</v>
      </c>
      <c r="Y15" s="196">
        <v>5</v>
      </c>
      <c r="AA15" s="6">
        <f>RANK('1bezr.'!C14,'1bezr.'!$C$3:'1bezr.'!$C$28,1)+COUNTIF('1bezr.'!$C$3:'1bezr.'!C14,'1bezr.'!C14)-1</f>
        <v>17</v>
      </c>
      <c r="AB15" s="80" t="str">
        <f>INDEX('1bezr.'!B3:G28,MATCH(14,AA4:AA29,0),1)</f>
        <v>sanocki</v>
      </c>
      <c r="AC15" s="6">
        <f>INDEX('1bezr.'!B3:K28,MATCH(14,AA4:AA29,0),2)</f>
        <v>2664</v>
      </c>
    </row>
    <row r="16" spans="2:29" x14ac:dyDescent="0.2">
      <c r="B16" s="6">
        <f>RANK('1bezr.'!C15,'1bezr.'!$C$3:'1bezr.'!$C$28,1)+COUNTIF('1bezr.'!$C$3:'1bezr.'!C15,'1bezr.'!C15)-1</f>
        <v>18</v>
      </c>
      <c r="C16" s="5" t="str">
        <f>INDEX('1bezr.'!B3:G28,MATCH(13,B4:B29,0),1)</f>
        <v>ropczycko-sędziszowski</v>
      </c>
      <c r="D16" s="6">
        <f>INDEX('1bezr.'!B3:G28,MATCH(13,B4:B29,0),2)</f>
        <v>2594</v>
      </c>
      <c r="E16" s="61">
        <f>INDEX('1bezr.'!B3:G28,MATCH(13,B4:B29,0),3)</f>
        <v>2569</v>
      </c>
      <c r="F16" s="6">
        <f>INDEX('1bezr.'!B3:G28,MATCH(13,B4:B29,0),4)</f>
        <v>25</v>
      </c>
      <c r="G16" s="61">
        <f>INDEX('1bezr.'!B3:G28,MATCH(13,B4:B29,0),5)</f>
        <v>2943</v>
      </c>
      <c r="H16" s="6">
        <f>INDEX('1bezr.'!B3:G28,MATCH(13,B4:B29,0),6)</f>
        <v>-349</v>
      </c>
      <c r="V16" s="6">
        <f>RANK('1bezr.'!E15,'1bezr.'!$E$3:'1bezr.'!$E$28,1)+COUNTIF('1bezr.'!$E$3:'1bezr.'!E15,'1bezr.'!E15)-1</f>
        <v>5</v>
      </c>
      <c r="W16" s="195" t="str">
        <f>INDEX('1bezr.'!B3:G28,MATCH(13,V4:V29,0),1)</f>
        <v>przemyski</v>
      </c>
      <c r="X16" s="196">
        <f>INDEX('1bezr.'!E3:G28,MATCH(13,V4:V29,0),1)</f>
        <v>17</v>
      </c>
      <c r="Y16" s="196">
        <v>6</v>
      </c>
      <c r="AA16" s="6">
        <f>RANK('1bezr.'!C15,'1bezr.'!$C$3:'1bezr.'!$C$28,1)+COUNTIF('1bezr.'!$C$3:'1bezr.'!C15,'1bezr.'!C15)-1</f>
        <v>18</v>
      </c>
      <c r="AB16" s="80" t="str">
        <f>INDEX('1bezr.'!B3:G28,MATCH(13,AA4:AA29,0),1)</f>
        <v>ropczycko-sędziszowski</v>
      </c>
      <c r="AC16" s="6">
        <f>INDEX('1bezr.'!B3:K28,MATCH(13,AA4:AA29,0),2)</f>
        <v>2594</v>
      </c>
    </row>
    <row r="17" spans="2:29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2664</v>
      </c>
      <c r="E17" s="61">
        <f>INDEX('1bezr.'!B3:G28,MATCH(14,B4:B29,0),3)</f>
        <v>2657</v>
      </c>
      <c r="F17" s="6">
        <f>INDEX('1bezr.'!B3:G28,MATCH(14,B4:B29,0),4)</f>
        <v>7</v>
      </c>
      <c r="G17" s="61">
        <f>INDEX('1bezr.'!B3:G28,MATCH(14,B4:B29,0),5)</f>
        <v>2489</v>
      </c>
      <c r="H17" s="6">
        <f>INDEX('1bezr.'!B3:G28,MATCH(14,B4:B29,0),6)</f>
        <v>175</v>
      </c>
      <c r="V17" s="6">
        <f>RANK('1bezr.'!E16,'1bezr.'!$E$3:'1bezr.'!$E$28,1)+COUNTIF('1bezr.'!$E$3:'1bezr.'!E16,'1bezr.'!E16)-1</f>
        <v>13</v>
      </c>
      <c r="W17" s="195" t="str">
        <f>INDEX('1bezr.'!B3:G28,MATCH(14,V4:V29,0),1)</f>
        <v>strzyżowski</v>
      </c>
      <c r="X17" s="196">
        <f>INDEX('1bezr.'!E3:G28,MATCH(14,V4:V29,0),1)</f>
        <v>23</v>
      </c>
      <c r="Y17" s="196">
        <v>7</v>
      </c>
      <c r="AA17" s="6">
        <f>RANK('1bezr.'!C16,'1bezr.'!$C$3:'1bezr.'!$C$28,1)+COUNTIF('1bezr.'!$C$3:'1bezr.'!C16,'1bezr.'!C16)-1</f>
        <v>15</v>
      </c>
      <c r="AB17" s="80" t="str">
        <f>INDEX('1bezr.'!B3:G28,MATCH(12,AA4:AA29,0),1)</f>
        <v>łańcucki</v>
      </c>
      <c r="AC17" s="6">
        <f>INDEX('1bezr.'!B3:K28,MATCH(12,AA4:AA29,0),2)</f>
        <v>2520</v>
      </c>
    </row>
    <row r="18" spans="2:29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2757</v>
      </c>
      <c r="E18" s="61">
        <f>INDEX('1bezr.'!B3:G28,MATCH(15,B4:B29,0),3)</f>
        <v>2740</v>
      </c>
      <c r="F18" s="6">
        <f>INDEX('1bezr.'!B3:G28,MATCH(15,B4:B29,0),4)</f>
        <v>17</v>
      </c>
      <c r="G18" s="61">
        <f>INDEX('1bezr.'!B3:G28,MATCH(15,B4:B29,0),5)</f>
        <v>2924</v>
      </c>
      <c r="H18" s="6">
        <f>INDEX('1bezr.'!B3:G28,MATCH(15,B4:B29,0),6)</f>
        <v>-167</v>
      </c>
      <c r="V18" s="6">
        <f>RANK('1bezr.'!E17,'1bezr.'!$E$3:'1bezr.'!$E$28,1)+COUNTIF('1bezr.'!$E$3:'1bezr.'!E17,'1bezr.'!E17)-1</f>
        <v>18</v>
      </c>
      <c r="W18" s="195" t="str">
        <f>INDEX('1bezr.'!B3:G28,MATCH(15,V4:V29,0),1)</f>
        <v>ropczycko-sędziszowski</v>
      </c>
      <c r="X18" s="196">
        <f>INDEX('1bezr.'!E3:G28,MATCH(15,V4:V29,0),1)</f>
        <v>25</v>
      </c>
      <c r="Y18" s="196">
        <v>8</v>
      </c>
      <c r="AA18" s="6">
        <f>RANK('1bezr.'!C17,'1bezr.'!$C$3:'1bezr.'!$C$28,1)+COUNTIF('1bezr.'!$C$3:'1bezr.'!C17,'1bezr.'!C17)-1</f>
        <v>20</v>
      </c>
      <c r="AB18" s="80" t="str">
        <f>INDEX('1bezr.'!B3:G28,MATCH(11,AA4:AA29,0),1)</f>
        <v>dębicki</v>
      </c>
      <c r="AC18" s="6">
        <f>INDEX('1bezr.'!B3:K28,MATCH(11,AA4:AA29,0),2)</f>
        <v>2398</v>
      </c>
    </row>
    <row r="19" spans="2:29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2897</v>
      </c>
      <c r="E19" s="61">
        <f>INDEX('1bezr.'!B3:G28,MATCH(16,B4:B29,0),3)</f>
        <v>2933</v>
      </c>
      <c r="F19" s="6">
        <f>INDEX('1bezr.'!B3:G28,MATCH(16,B4:B29,0),4)</f>
        <v>-36</v>
      </c>
      <c r="G19" s="61">
        <f>INDEX('1bezr.'!B3:G28,MATCH(16,B4:B29,0),5)</f>
        <v>3221</v>
      </c>
      <c r="H19" s="6">
        <f>INDEX('1bezr.'!B3:G28,MATCH(16,B4:B29,0),6)</f>
        <v>-324</v>
      </c>
      <c r="V19" s="6">
        <f>RANK('1bezr.'!E18,'1bezr.'!$E$3:'1bezr.'!$E$28,1)+COUNTIF('1bezr.'!$E$3:'1bezr.'!E18,'1bezr.'!E18)-1</f>
        <v>15</v>
      </c>
      <c r="W19" s="195" t="str">
        <f>INDEX('1bezr.'!B3:G28,MATCH(16,V4:V29,0),1)</f>
        <v>krośnieński</v>
      </c>
      <c r="X19" s="196">
        <f>INDEX('1bezr.'!E3:G28,MATCH(16,V4:V29,0),1)</f>
        <v>31</v>
      </c>
      <c r="Y19" s="196">
        <v>9</v>
      </c>
      <c r="AA19" s="6">
        <f>RANK('1bezr.'!C18,'1bezr.'!$C$3:'1bezr.'!$C$28,1)+COUNTIF('1bezr.'!$C$3:'1bezr.'!C18,'1bezr.'!C18)-1</f>
        <v>13</v>
      </c>
      <c r="AB19" s="80" t="str">
        <f>INDEX('1bezr.'!B3:G28,MATCH(10,AA4:AA29,0),1)</f>
        <v>Przemyśl</v>
      </c>
      <c r="AC19" s="6">
        <f>INDEX('1bezr.'!B3:K28,MATCH(10,AA4:AA29,0),2)</f>
        <v>2343</v>
      </c>
    </row>
    <row r="20" spans="2:29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mielecki</v>
      </c>
      <c r="D20" s="6">
        <f>INDEX('1bezr.'!B3:G28,MATCH(17,B4:B29,0),2)</f>
        <v>2918</v>
      </c>
      <c r="E20" s="61">
        <f>INDEX('1bezr.'!B3:G28,MATCH(17,B4:B29,0),3)</f>
        <v>2837</v>
      </c>
      <c r="F20" s="6">
        <f>INDEX('1bezr.'!B3:G28,MATCH(17,B4:B29,0),4)</f>
        <v>81</v>
      </c>
      <c r="G20" s="61">
        <f>INDEX('1bezr.'!B3:G28,MATCH(17,B4:B29,0),5)</f>
        <v>2648</v>
      </c>
      <c r="H20" s="6">
        <f>INDEX('1bezr.'!B3:G28,MATCH(17,B4:B29,0),6)</f>
        <v>270</v>
      </c>
      <c r="V20" s="6">
        <f>RANK('1bezr.'!E19,'1bezr.'!$E$3:'1bezr.'!$E$28,1)+COUNTIF('1bezr.'!$E$3:'1bezr.'!E19,'1bezr.'!E19)-1</f>
        <v>10</v>
      </c>
      <c r="W20" s="195" t="str">
        <f>INDEX('1bezr.'!B3:G28,MATCH(17,V4:V29,0),1)</f>
        <v>leski</v>
      </c>
      <c r="X20" s="196">
        <f>INDEX('1bezr.'!E3:G28,MATCH(17,V4:V29,0),1)</f>
        <v>31</v>
      </c>
      <c r="Y20" s="196">
        <v>10</v>
      </c>
      <c r="AA20" s="6">
        <f>RANK('1bezr.'!C19,'1bezr.'!$C$3:'1bezr.'!$C$28,1)+COUNTIF('1bezr.'!$C$3:'1bezr.'!C19,'1bezr.'!C19)-1</f>
        <v>23</v>
      </c>
      <c r="AB20" s="80" t="str">
        <f>INDEX('1bezr.'!B3:G28,MATCH(9,AA4:AA29,0),1)</f>
        <v>krośnieński</v>
      </c>
      <c r="AC20" s="6">
        <f>INDEX('1bezr.'!B3:K28,MATCH(9,AA4:AA29,0),2)</f>
        <v>2126</v>
      </c>
    </row>
    <row r="21" spans="2:29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niżański</v>
      </c>
      <c r="D21" s="6">
        <f>INDEX('1bezr.'!B3:G28,MATCH(18,B4:B29,0),2)</f>
        <v>3011</v>
      </c>
      <c r="E21" s="61">
        <f>INDEX('1bezr.'!B3:G28,MATCH(18,B4:B29,0),3)</f>
        <v>3032</v>
      </c>
      <c r="F21" s="6">
        <f>INDEX('1bezr.'!B3:G28,MATCH(18,B4:B29,0),4)</f>
        <v>-21</v>
      </c>
      <c r="G21" s="61">
        <f>INDEX('1bezr.'!B3:G28,MATCH(18,B4:B29,0),5)</f>
        <v>3096</v>
      </c>
      <c r="H21" s="6">
        <f>INDEX('1bezr.'!B3:G28,MATCH(18,B4:B29,0),6)</f>
        <v>-85</v>
      </c>
      <c r="V21" s="6">
        <f>RANK('1bezr.'!E20,'1bezr.'!$E$3:'1bezr.'!$E$28,1)+COUNTIF('1bezr.'!$E$3:'1bezr.'!E20,'1bezr.'!E20)-1</f>
        <v>11</v>
      </c>
      <c r="W21" s="195" t="str">
        <f>INDEX('1bezr.'!B3:G28,MATCH(18,V4:V29,0),1)</f>
        <v>przeworski</v>
      </c>
      <c r="X21" s="196">
        <f>INDEX('1bezr.'!E3:G28,MATCH(18,V4:V29,0),1)</f>
        <v>32</v>
      </c>
      <c r="Y21" s="196">
        <v>11</v>
      </c>
      <c r="AA21" s="6">
        <f>RANK('1bezr.'!C20,'1bezr.'!$C$3:'1bezr.'!$C$28,1)+COUNTIF('1bezr.'!$C$3:'1bezr.'!C20,'1bezr.'!C20)-1</f>
        <v>14</v>
      </c>
      <c r="AB21" s="80" t="str">
        <f>INDEX('1bezr.'!B3:G28,MATCH(8,AA4:AA29,0),1)</f>
        <v>stalowowolski</v>
      </c>
      <c r="AC21" s="6">
        <f>INDEX('1bezr.'!B3:K28,MATCH(8,AA4:AA29,0),2)</f>
        <v>1923</v>
      </c>
    </row>
    <row r="22" spans="2:29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3030</v>
      </c>
      <c r="E22" s="61">
        <f>INDEX('1bezr.'!B3:G28,MATCH(19,B4:B29,0),3)</f>
        <v>3007</v>
      </c>
      <c r="F22" s="6">
        <f>INDEX('1bezr.'!B3:G28,MATCH(19,B4:B29,0),4)</f>
        <v>23</v>
      </c>
      <c r="G22" s="61">
        <f>INDEX('1bezr.'!B3:G28,MATCH(19,B4:B29,0),5)</f>
        <v>3205</v>
      </c>
      <c r="H22" s="6">
        <f>INDEX('1bezr.'!B3:G28,MATCH(19,B4:B29,0),6)</f>
        <v>-175</v>
      </c>
      <c r="V22" s="6">
        <f>RANK('1bezr.'!E21,'1bezr.'!$E$3:'1bezr.'!$E$28,1)+COUNTIF('1bezr.'!$E$3:'1bezr.'!E21,'1bezr.'!E21)-1</f>
        <v>19</v>
      </c>
      <c r="W22" s="195" t="str">
        <f>INDEX('1bezr.'!B3:G28,MATCH(19,V4:V29,0),1)</f>
        <v>stalowowolski</v>
      </c>
      <c r="X22" s="196">
        <f>INDEX('1bezr.'!E3:G28,MATCH(19,V4:V29,0),1)</f>
        <v>32</v>
      </c>
      <c r="Y22" s="196">
        <v>12</v>
      </c>
      <c r="AA22" s="6">
        <f>RANK('1bezr.'!C21,'1bezr.'!$C$3:'1bezr.'!$C$28,1)+COUNTIF('1bezr.'!$C$3:'1bezr.'!C21,'1bezr.'!C21)-1</f>
        <v>8</v>
      </c>
      <c r="AB22" s="80" t="str">
        <f>INDEX('1bezr.'!B3:G28,MATCH(7,AA4:AA29,0),1)</f>
        <v>lubaczowski</v>
      </c>
      <c r="AC22" s="6">
        <f>INDEX('1bezr.'!B3:K28,MATCH(7,AA4:AA29,0),2)</f>
        <v>1692</v>
      </c>
    </row>
    <row r="23" spans="2:29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3300</v>
      </c>
      <c r="E23" s="61">
        <f>INDEX('1bezr.'!B3:G28,MATCH(20,B4:B29,0),3)</f>
        <v>3268</v>
      </c>
      <c r="F23" s="6">
        <f>INDEX('1bezr.'!B3:G28,MATCH(20,B4:B29,0),4)</f>
        <v>32</v>
      </c>
      <c r="G23" s="61">
        <f>INDEX('1bezr.'!B3:G28,MATCH(20,B4:B29,0),5)</f>
        <v>3554</v>
      </c>
      <c r="H23" s="6">
        <f>INDEX('1bezr.'!B3:G28,MATCH(20,B4:B29,0),6)</f>
        <v>-254</v>
      </c>
      <c r="V23" s="6">
        <f>RANK('1bezr.'!E22,'1bezr.'!$E$3:'1bezr.'!$E$28,1)+COUNTIF('1bezr.'!$E$3:'1bezr.'!E22,'1bezr.'!E22)-1</f>
        <v>14</v>
      </c>
      <c r="W23" s="195" t="str">
        <f>INDEX('1bezr.'!B3:G28,MATCH(20,V4:V29,0),1)</f>
        <v xml:space="preserve">tarnobrzeski </v>
      </c>
      <c r="X23" s="196">
        <f>INDEX('1bezr.'!E3:G28,MATCH(20,V4:V29,0),1)</f>
        <v>35</v>
      </c>
      <c r="Y23" s="196">
        <v>13</v>
      </c>
      <c r="AA23" s="6">
        <f>RANK('1bezr.'!C22,'1bezr.'!$C$3:'1bezr.'!$C$28,1)+COUNTIF('1bezr.'!$C$3:'1bezr.'!C22,'1bezr.'!C22)-1</f>
        <v>19</v>
      </c>
      <c r="AB23" s="80" t="str">
        <f>INDEX('1bezr.'!B3:G28,MATCH(6,AA4:AA29,0),1)</f>
        <v>leski</v>
      </c>
      <c r="AC23" s="6">
        <f>INDEX('1bezr.'!B3:K28,MATCH(6,AA4:AA29,0),2)</f>
        <v>1541</v>
      </c>
    </row>
    <row r="24" spans="2:29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3667</v>
      </c>
      <c r="E24" s="61">
        <f>INDEX('1bezr.'!B3:G28,MATCH(21,B4:B29,0),3)</f>
        <v>3608</v>
      </c>
      <c r="F24" s="6">
        <f>INDEX('1bezr.'!B3:G28,MATCH(21,B4:B29,0),4)</f>
        <v>59</v>
      </c>
      <c r="G24" s="61">
        <f>INDEX('1bezr.'!B3:G28,MATCH(21,B4:B29,0),5)</f>
        <v>3930</v>
      </c>
      <c r="H24" s="6">
        <f>INDEX('1bezr.'!B3:G28,MATCH(21,B4:B29,0),6)</f>
        <v>-263</v>
      </c>
      <c r="V24" s="6">
        <f>RANK('1bezr.'!E23,'1bezr.'!$E$3:'1bezr.'!$E$28,1)+COUNTIF('1bezr.'!$E$3:'1bezr.'!E23,'1bezr.'!E23)-1</f>
        <v>20</v>
      </c>
      <c r="W24" s="195" t="str">
        <f>INDEX('1bezr.'!B3:G28,MATCH(21,V4:V29,0),1)</f>
        <v>brzozowski</v>
      </c>
      <c r="X24" s="196">
        <f>INDEX('1bezr.'!E3:G28,MATCH(21,V4:V29,0),1)</f>
        <v>59</v>
      </c>
      <c r="Y24" s="196">
        <v>14</v>
      </c>
      <c r="AA24" s="6">
        <f>RANK('1bezr.'!C23,'1bezr.'!$C$3:'1bezr.'!$C$28,1)+COUNTIF('1bezr.'!$C$3:'1bezr.'!C23,'1bezr.'!C23)-1</f>
        <v>4</v>
      </c>
      <c r="AB24" s="80" t="str">
        <f>INDEX('1bezr.'!B3:G28,MATCH(5,AA4:AA29,0),1)</f>
        <v>kolbuszowski</v>
      </c>
      <c r="AC24" s="6">
        <f>INDEX('1bezr.'!B3:K28,MATCH(5,AA4:AA29,0),2)</f>
        <v>1511</v>
      </c>
    </row>
    <row r="25" spans="2:29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4215</v>
      </c>
      <c r="E25" s="61">
        <f>INDEX('1bezr.'!B3:G28,MATCH(22,B4:B29,0),3)</f>
        <v>4222</v>
      </c>
      <c r="F25" s="6">
        <f>INDEX('1bezr.'!B3:G28,MATCH(22,B4:B29,0),4)</f>
        <v>-7</v>
      </c>
      <c r="G25" s="61">
        <f>INDEX('1bezr.'!B3:G28,MATCH(22,B4:B29,0),5)</f>
        <v>4631</v>
      </c>
      <c r="H25" s="6">
        <f>INDEX('1bezr.'!B3:G28,MATCH(22,B4:B29,0),6)</f>
        <v>-416</v>
      </c>
      <c r="V25" s="6">
        <f>RANK('1bezr.'!E24,'1bezr.'!$E$3:'1bezr.'!$E$28,1)+COUNTIF('1bezr.'!$E$3:'1bezr.'!E24,'1bezr.'!E24)-1</f>
        <v>23</v>
      </c>
      <c r="W25" s="195" t="str">
        <f>INDEX('1bezr.'!B3:G28,MATCH(22,V4:V29,0),1)</f>
        <v>jasielski</v>
      </c>
      <c r="X25" s="196">
        <f>INDEX('1bezr.'!E3:G28,MATCH(22,V4:V29,0),1)</f>
        <v>63</v>
      </c>
      <c r="Y25" s="196">
        <v>15</v>
      </c>
      <c r="AA25" s="6">
        <f>RANK('1bezr.'!C24,'1bezr.'!$C$3:'1bezr.'!$C$28,1)+COUNTIF('1bezr.'!$C$3:'1bezr.'!C24,'1bezr.'!C24)-1</f>
        <v>1</v>
      </c>
      <c r="AB25" s="80" t="str">
        <f>INDEX('1bezr.'!B3:G28,MATCH(4,AA4:AA29,0),1)</f>
        <v xml:space="preserve">tarnobrzeski </v>
      </c>
      <c r="AC25" s="6">
        <f>INDEX('1bezr.'!B3:K28,MATCH(4,AA4:AA29,0),2)</f>
        <v>1268</v>
      </c>
    </row>
    <row r="26" spans="2:29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4625</v>
      </c>
      <c r="E26" s="61">
        <f>INDEX('1bezr.'!B3:G28,MATCH(23,B4:B29,0),3)</f>
        <v>4618</v>
      </c>
      <c r="F26" s="6">
        <f>INDEX('1bezr.'!B3:G28,MATCH(23,B4:B29,0),4)</f>
        <v>7</v>
      </c>
      <c r="G26" s="61">
        <f>INDEX('1bezr.'!B3:G28,MATCH(23,B4:B29,0),5)</f>
        <v>4881</v>
      </c>
      <c r="H26" s="6">
        <f>INDEX('1bezr.'!B3:G28,MATCH(23,B4:B29,0),6)</f>
        <v>-256</v>
      </c>
      <c r="V26" s="6">
        <f>RANK('1bezr.'!E25,'1bezr.'!$E$3:'1bezr.'!$E$28,1)+COUNTIF('1bezr.'!$E$3:'1bezr.'!E25,'1bezr.'!E25)-1</f>
        <v>3</v>
      </c>
      <c r="W26" s="195" t="str">
        <f>INDEX('1bezr.'!B3:G28,MATCH(23,V4:V29,0),1)</f>
        <v>Krosno</v>
      </c>
      <c r="X26" s="196">
        <f>INDEX('1bezr.'!E3:G28,MATCH(23,V4:V29,0),1)</f>
        <v>65</v>
      </c>
      <c r="Y26" s="196">
        <v>16</v>
      </c>
      <c r="AA26" s="6">
        <f>RANK('1bezr.'!C25,'1bezr.'!$C$3:'1bezr.'!$C$28,1)+COUNTIF('1bezr.'!$C$3:'1bezr.'!C25,'1bezr.'!C25)-1</f>
        <v>10</v>
      </c>
      <c r="AB26" s="80" t="str">
        <f>INDEX('1bezr.'!B3:G28,MATCH(3,AA4:AA29,0),1)</f>
        <v>Tarnobrzeg</v>
      </c>
      <c r="AC26" s="6">
        <f>INDEX('1bezr.'!B3:K28,MATCH(3,AA4:AA29,0),2)</f>
        <v>1078</v>
      </c>
    </row>
    <row r="27" spans="2:29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4772</v>
      </c>
      <c r="E27" s="61">
        <f>INDEX('1bezr.'!B3:G28,MATCH(24,B4:B29,0),3)</f>
        <v>4709</v>
      </c>
      <c r="F27" s="6">
        <f>INDEX('1bezr.'!B3:G28,MATCH(24,B4:B29,0),4)</f>
        <v>63</v>
      </c>
      <c r="G27" s="61">
        <f>INDEX('1bezr.'!B3:G28,MATCH(24,B4:B29,0),5)</f>
        <v>4681</v>
      </c>
      <c r="H27" s="6">
        <f>INDEX('1bezr.'!B3:G28,MATCH(24,B4:B29,0),6)</f>
        <v>91</v>
      </c>
      <c r="V27" s="149">
        <f>RANK('1bezr.'!E26,'1bezr.'!$E$3:'1bezr.'!$E$28,1)+COUNTIF('1bezr.'!$E$3:'1bezr.'!E26,'1bezr.'!E26)-1</f>
        <v>1</v>
      </c>
      <c r="W27" s="195" t="str">
        <f>INDEX('1bezr.'!B3:G28,MATCH(24,V4:V29,0),1)</f>
        <v>lubaczowski</v>
      </c>
      <c r="X27" s="196">
        <f>INDEX('1bezr.'!E3:G28,MATCH(24,V4:V29,0),1)</f>
        <v>76</v>
      </c>
      <c r="Y27" s="196">
        <v>17</v>
      </c>
      <c r="AA27" s="149">
        <f>RANK('1bezr.'!C26,'1bezr.'!$C$3:'1bezr.'!$C$28,1)+COUNTIF('1bezr.'!$C$3:'1bezr.'!C26,'1bezr.'!C26)-1</f>
        <v>25</v>
      </c>
      <c r="AB27" s="150" t="str">
        <f>INDEX('1bezr.'!B3:G28,MATCH(2,AA4:AA29,0),1)</f>
        <v>bieszczadzki</v>
      </c>
      <c r="AC27" s="149">
        <f>INDEX('1bezr.'!B3:K28,MATCH(2,AA4:AA29,0),2)</f>
        <v>973</v>
      </c>
    </row>
    <row r="28" spans="2:29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5257</v>
      </c>
      <c r="E28" s="61">
        <f>INDEX('1bezr.'!B3:G28,MATCH(25,B4:B29,0),3)</f>
        <v>5304</v>
      </c>
      <c r="F28" s="6">
        <f>INDEX('1bezr.'!B3:G28,MATCH(25,B4:B29,0),4)</f>
        <v>-47</v>
      </c>
      <c r="G28" s="61">
        <f>INDEX('1bezr.'!B3:G28,MATCH(25,B4:B29,0),5)</f>
        <v>5830</v>
      </c>
      <c r="H28" s="6">
        <f>INDEX('1bezr.'!B3:G28,MATCH(25,B4:B29,0),6)</f>
        <v>-573</v>
      </c>
      <c r="V28" s="149">
        <f>RANK('1bezr.'!E27,'1bezr.'!$E$3:'1bezr.'!$E$28,1)+COUNTIF('1bezr.'!$E$3:'1bezr.'!E27,'1bezr.'!E27)-1</f>
        <v>9</v>
      </c>
      <c r="W28" s="195" t="str">
        <f>INDEX('1bezr.'!B3:G28,MATCH(25,V4:V29,0),1)</f>
        <v>mielecki</v>
      </c>
      <c r="X28" s="196">
        <f>INDEX('1bezr.'!E3:G28,MATCH(25,V4:V29,0),1)</f>
        <v>81</v>
      </c>
      <c r="Y28" s="196">
        <v>18</v>
      </c>
      <c r="AA28" s="149">
        <f>RANK('1bezr.'!C27,'1bezr.'!$C$3:'1bezr.'!$C$28,1)+COUNTIF('1bezr.'!$C$3:'1bezr.'!C27,'1bezr.'!C27)-1</f>
        <v>3</v>
      </c>
      <c r="AB28" s="150" t="str">
        <f>INDEX('1bezr.'!B3:G28,MATCH(1,AA4:AA29,0),1)</f>
        <v>Krosno</v>
      </c>
      <c r="AC28" s="149">
        <f>INDEX('1bezr.'!B3:K28,MATCH(1,AA4:AA29,0),2)</f>
        <v>781</v>
      </c>
    </row>
    <row r="29" spans="2:29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65861</v>
      </c>
      <c r="E29" s="63">
        <f>INDEX('1bezr.'!B3:G28,MATCH(26,B4:B29,0),3)</f>
        <v>65444</v>
      </c>
      <c r="F29" s="59">
        <f>INDEX('1bezr.'!B3:G28,MATCH(26,B4:B29,0),4)</f>
        <v>417</v>
      </c>
      <c r="G29" s="63">
        <f>INDEX('1bezr.'!B3:G28,MATCH(26,B4:B29,0),5)</f>
        <v>68484</v>
      </c>
      <c r="H29" s="59">
        <f>INDEX('1bezr.'!B3:G28,MATCH(26,B4:B29,0),6)</f>
        <v>-2623</v>
      </c>
      <c r="V29" s="6">
        <f>RANK('1bezr.'!E28,'1bezr.'!$E$3:'1bezr.'!$E$28,1)+COUNTIF('1bezr.'!$E$3:'1bezr.'!E28,'1bezr.'!E28)-1</f>
        <v>26</v>
      </c>
      <c r="W29" s="197" t="str">
        <f>INDEX('1bezr.'!B3:G28,MATCH(26,V4:V29,0),1)</f>
        <v>województwo</v>
      </c>
      <c r="X29" s="196">
        <f>INDEX('1bezr.'!E3:G28,MATCH(26,V4:V29,0),1)</f>
        <v>417</v>
      </c>
      <c r="Y29" s="196">
        <v>19</v>
      </c>
      <c r="AA29" s="6">
        <f>RANK('1bezr.'!C28,'1bezr.'!$C$3:'1bezr.'!$C$28,1)+COUNTIF('1bezr.'!$C$3:'1bezr.'!C28,'1bezr.'!C28)-1</f>
        <v>26</v>
      </c>
      <c r="AB29" s="151" t="str">
        <f>INDEX('1bezr.'!B3:G28,MATCH(26,AA4:AA29,0),1)</f>
        <v>województwo</v>
      </c>
      <c r="AC29" s="6">
        <f>INDEX('1bezr.'!B3:K28,MATCH(26,AA4:AA29,0),2)</f>
        <v>65861</v>
      </c>
    </row>
    <row r="30" spans="2:29" x14ac:dyDescent="0.2">
      <c r="F30" s="19"/>
      <c r="H30" s="19"/>
      <c r="X30" s="82">
        <f>SUM(X4:X28)</f>
        <v>417</v>
      </c>
      <c r="Y30" s="82"/>
      <c r="AC30" s="82">
        <f>SUM(AC4:AC28)</f>
        <v>65861</v>
      </c>
    </row>
  </sheetData>
  <pageMargins left="0" right="0" top="0.31496062992125984" bottom="0.31496062992125984" header="0" footer="0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</sheetPr>
  <dimension ref="B1:L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customWidth="1"/>
    <col min="10" max="10" width="15.140625" style="3" customWidth="1"/>
    <col min="11" max="11" width="10.85546875" style="3" customWidth="1"/>
    <col min="12" max="12" width="10.42578125" style="3" customWidth="1"/>
    <col min="13" max="13" width="5.5703125" style="3" customWidth="1"/>
    <col min="14" max="16384" width="9.140625" style="3"/>
  </cols>
  <sheetData>
    <row r="1" spans="2:12" x14ac:dyDescent="0.2">
      <c r="B1" s="2" t="s">
        <v>80</v>
      </c>
      <c r="I1" s="3" t="s">
        <v>85</v>
      </c>
    </row>
    <row r="2" spans="2:12" ht="75" customHeight="1" x14ac:dyDescent="0.2">
      <c r="B2" s="55" t="s">
        <v>27</v>
      </c>
      <c r="C2" s="56" t="s">
        <v>128</v>
      </c>
      <c r="D2" s="57" t="s">
        <v>121</v>
      </c>
      <c r="E2" s="56" t="s">
        <v>28</v>
      </c>
      <c r="F2" s="57" t="s">
        <v>129</v>
      </c>
      <c r="G2" s="56" t="s">
        <v>26</v>
      </c>
      <c r="I2" s="55" t="s">
        <v>27</v>
      </c>
      <c r="J2" s="56" t="str">
        <f>T('1bezr.'!C2)</f>
        <v>liczba bezrobotnych ogółem stan na 31 VIII '23 r.</v>
      </c>
      <c r="K2" s="56" t="s">
        <v>78</v>
      </c>
      <c r="L2" s="56" t="s">
        <v>94</v>
      </c>
    </row>
    <row r="3" spans="2:12" x14ac:dyDescent="0.2">
      <c r="B3" s="5" t="s">
        <v>0</v>
      </c>
      <c r="C3" s="6">
        <v>497</v>
      </c>
      <c r="D3" s="61">
        <v>501</v>
      </c>
      <c r="E3" s="6">
        <f t="shared" ref="E3:E26" si="0">SUM(C3)-D3</f>
        <v>-4</v>
      </c>
      <c r="F3" s="61">
        <v>550</v>
      </c>
      <c r="G3" s="6">
        <f t="shared" ref="G3:G26" si="1">SUM(C3)-F3</f>
        <v>-53</v>
      </c>
      <c r="I3" s="5" t="s">
        <v>0</v>
      </c>
      <c r="J3" s="6">
        <f>SUM('1bezr.'!C3)</f>
        <v>973</v>
      </c>
      <c r="K3" s="6">
        <f>SUM(C3)</f>
        <v>497</v>
      </c>
      <c r="L3" s="24">
        <f t="shared" ref="L3:L28" si="2">SUM(K3)/J3*100</f>
        <v>51.079136690647488</v>
      </c>
    </row>
    <row r="4" spans="2:12" x14ac:dyDescent="0.2">
      <c r="B4" s="5" t="s">
        <v>1</v>
      </c>
      <c r="C4" s="6">
        <v>1950</v>
      </c>
      <c r="D4" s="61">
        <v>1942</v>
      </c>
      <c r="E4" s="6">
        <f t="shared" si="0"/>
        <v>8</v>
      </c>
      <c r="F4" s="61">
        <v>2111</v>
      </c>
      <c r="G4" s="6">
        <f t="shared" si="1"/>
        <v>-161</v>
      </c>
      <c r="I4" s="5" t="s">
        <v>1</v>
      </c>
      <c r="J4" s="6">
        <f>SUM('1bezr.'!C4)</f>
        <v>3667</v>
      </c>
      <c r="K4" s="6">
        <f t="shared" ref="K4:K27" si="3">SUM(C4)</f>
        <v>1950</v>
      </c>
      <c r="L4" s="24">
        <f t="shared" si="2"/>
        <v>53.176983910553588</v>
      </c>
    </row>
    <row r="5" spans="2:12" x14ac:dyDescent="0.2">
      <c r="B5" s="5" t="s">
        <v>2</v>
      </c>
      <c r="C5" s="6">
        <v>1496</v>
      </c>
      <c r="D5" s="61">
        <v>1461</v>
      </c>
      <c r="E5" s="6">
        <f t="shared" si="0"/>
        <v>35</v>
      </c>
      <c r="F5" s="61">
        <v>1572</v>
      </c>
      <c r="G5" s="6">
        <f t="shared" si="1"/>
        <v>-76</v>
      </c>
      <c r="I5" s="5" t="s">
        <v>2</v>
      </c>
      <c r="J5" s="6">
        <f>SUM('1bezr.'!C5)</f>
        <v>2398</v>
      </c>
      <c r="K5" s="6">
        <f t="shared" si="3"/>
        <v>1496</v>
      </c>
      <c r="L5" s="24">
        <f t="shared" si="2"/>
        <v>62.385321100917437</v>
      </c>
    </row>
    <row r="6" spans="2:12" x14ac:dyDescent="0.2">
      <c r="B6" s="5" t="s">
        <v>3</v>
      </c>
      <c r="C6" s="6">
        <v>2262</v>
      </c>
      <c r="D6" s="61">
        <v>2245</v>
      </c>
      <c r="E6" s="6">
        <f t="shared" si="0"/>
        <v>17</v>
      </c>
      <c r="F6" s="61">
        <v>2563</v>
      </c>
      <c r="G6" s="6">
        <f t="shared" si="1"/>
        <v>-301</v>
      </c>
      <c r="I6" s="5" t="s">
        <v>3</v>
      </c>
      <c r="J6" s="6">
        <f>SUM('1bezr.'!C6)</f>
        <v>4215</v>
      </c>
      <c r="K6" s="6">
        <f t="shared" si="3"/>
        <v>2262</v>
      </c>
      <c r="L6" s="24">
        <f t="shared" si="2"/>
        <v>53.665480427046262</v>
      </c>
    </row>
    <row r="7" spans="2:12" x14ac:dyDescent="0.2">
      <c r="B7" s="5" t="s">
        <v>4</v>
      </c>
      <c r="C7" s="6">
        <v>2746</v>
      </c>
      <c r="D7" s="61">
        <v>2718</v>
      </c>
      <c r="E7" s="6">
        <f t="shared" si="0"/>
        <v>28</v>
      </c>
      <c r="F7" s="61">
        <v>2805</v>
      </c>
      <c r="G7" s="6">
        <f t="shared" si="1"/>
        <v>-59</v>
      </c>
      <c r="I7" s="5" t="s">
        <v>4</v>
      </c>
      <c r="J7" s="6">
        <f>SUM('1bezr.'!C7)</f>
        <v>4772</v>
      </c>
      <c r="K7" s="6">
        <f t="shared" si="3"/>
        <v>2746</v>
      </c>
      <c r="L7" s="24">
        <f t="shared" si="2"/>
        <v>57.544006705783737</v>
      </c>
    </row>
    <row r="8" spans="2:12" x14ac:dyDescent="0.2">
      <c r="B8" s="5" t="s">
        <v>5</v>
      </c>
      <c r="C8" s="6">
        <v>768</v>
      </c>
      <c r="D8" s="61">
        <v>775</v>
      </c>
      <c r="E8" s="6">
        <f t="shared" si="0"/>
        <v>-7</v>
      </c>
      <c r="F8" s="61">
        <v>886</v>
      </c>
      <c r="G8" s="6">
        <f t="shared" si="1"/>
        <v>-118</v>
      </c>
      <c r="I8" s="5" t="s">
        <v>5</v>
      </c>
      <c r="J8" s="6">
        <f>SUM('1bezr.'!C8)</f>
        <v>1511</v>
      </c>
      <c r="K8" s="6">
        <f t="shared" si="3"/>
        <v>768</v>
      </c>
      <c r="L8" s="24">
        <f>SUM(K8)/J8*100</f>
        <v>50.827266710787555</v>
      </c>
    </row>
    <row r="9" spans="2:12" x14ac:dyDescent="0.2">
      <c r="B9" s="9" t="s">
        <v>6</v>
      </c>
      <c r="C9" s="6">
        <v>1171</v>
      </c>
      <c r="D9" s="61">
        <v>1147</v>
      </c>
      <c r="E9" s="6">
        <f t="shared" si="0"/>
        <v>24</v>
      </c>
      <c r="F9" s="61">
        <v>1073</v>
      </c>
      <c r="G9" s="6">
        <f t="shared" si="1"/>
        <v>98</v>
      </c>
      <c r="I9" s="9" t="s">
        <v>6</v>
      </c>
      <c r="J9" s="6">
        <f>SUM('1bezr.'!C9)</f>
        <v>2126</v>
      </c>
      <c r="K9" s="6">
        <f t="shared" si="3"/>
        <v>1171</v>
      </c>
      <c r="L9" s="24">
        <f t="shared" si="2"/>
        <v>55.079962370649106</v>
      </c>
    </row>
    <row r="10" spans="2:12" x14ac:dyDescent="0.2">
      <c r="B10" s="5" t="s">
        <v>7</v>
      </c>
      <c r="C10" s="6">
        <v>714</v>
      </c>
      <c r="D10" s="61">
        <v>698</v>
      </c>
      <c r="E10" s="6">
        <f t="shared" si="0"/>
        <v>16</v>
      </c>
      <c r="F10" s="61">
        <v>729</v>
      </c>
      <c r="G10" s="6">
        <f t="shared" si="1"/>
        <v>-15</v>
      </c>
      <c r="I10" s="5" t="s">
        <v>7</v>
      </c>
      <c r="J10" s="6">
        <f>SUM('1bezr.'!C10)</f>
        <v>1541</v>
      </c>
      <c r="K10" s="6">
        <f t="shared" si="3"/>
        <v>714</v>
      </c>
      <c r="L10" s="24">
        <f t="shared" si="2"/>
        <v>46.333549643088908</v>
      </c>
    </row>
    <row r="11" spans="2:12" x14ac:dyDescent="0.2">
      <c r="B11" s="5" t="s">
        <v>8</v>
      </c>
      <c r="C11" s="6">
        <v>1546</v>
      </c>
      <c r="D11" s="61">
        <v>1559</v>
      </c>
      <c r="E11" s="6">
        <f t="shared" si="0"/>
        <v>-13</v>
      </c>
      <c r="F11" s="61">
        <v>1694</v>
      </c>
      <c r="G11" s="6">
        <f t="shared" si="1"/>
        <v>-148</v>
      </c>
      <c r="I11" s="5" t="s">
        <v>8</v>
      </c>
      <c r="J11" s="6">
        <f>SUM('1bezr.'!C11)</f>
        <v>2897</v>
      </c>
      <c r="K11" s="6">
        <f t="shared" si="3"/>
        <v>1546</v>
      </c>
      <c r="L11" s="24">
        <f t="shared" si="2"/>
        <v>53.365550569554706</v>
      </c>
    </row>
    <row r="12" spans="2:12" x14ac:dyDescent="0.2">
      <c r="B12" s="5" t="s">
        <v>9</v>
      </c>
      <c r="C12" s="6">
        <v>806</v>
      </c>
      <c r="D12" s="61">
        <v>762</v>
      </c>
      <c r="E12" s="6">
        <f t="shared" si="0"/>
        <v>44</v>
      </c>
      <c r="F12" s="61">
        <v>775</v>
      </c>
      <c r="G12" s="6">
        <f t="shared" si="1"/>
        <v>31</v>
      </c>
      <c r="I12" s="5" t="s">
        <v>9</v>
      </c>
      <c r="J12" s="6">
        <f>SUM('1bezr.'!C12)</f>
        <v>1692</v>
      </c>
      <c r="K12" s="6">
        <f t="shared" si="3"/>
        <v>806</v>
      </c>
      <c r="L12" s="24">
        <f t="shared" si="2"/>
        <v>47.635933806146575</v>
      </c>
    </row>
    <row r="13" spans="2:12" x14ac:dyDescent="0.2">
      <c r="B13" s="5" t="s">
        <v>10</v>
      </c>
      <c r="C13" s="6">
        <v>1285</v>
      </c>
      <c r="D13" s="61">
        <v>1260</v>
      </c>
      <c r="E13" s="6">
        <f t="shared" si="0"/>
        <v>25</v>
      </c>
      <c r="F13" s="61">
        <v>1435</v>
      </c>
      <c r="G13" s="6">
        <f t="shared" si="1"/>
        <v>-150</v>
      </c>
      <c r="I13" s="5" t="s">
        <v>10</v>
      </c>
      <c r="J13" s="6">
        <f>SUM('1bezr.'!C13)</f>
        <v>2520</v>
      </c>
      <c r="K13" s="6">
        <f t="shared" si="3"/>
        <v>1285</v>
      </c>
      <c r="L13" s="24">
        <f t="shared" si="2"/>
        <v>50.992063492063487</v>
      </c>
    </row>
    <row r="14" spans="2:12" x14ac:dyDescent="0.2">
      <c r="B14" s="5" t="s">
        <v>11</v>
      </c>
      <c r="C14" s="6">
        <v>1490</v>
      </c>
      <c r="D14" s="61">
        <v>1462</v>
      </c>
      <c r="E14" s="6">
        <f t="shared" si="0"/>
        <v>28</v>
      </c>
      <c r="F14" s="61">
        <v>1429</v>
      </c>
      <c r="G14" s="6">
        <f t="shared" si="1"/>
        <v>61</v>
      </c>
      <c r="I14" s="5" t="s">
        <v>11</v>
      </c>
      <c r="J14" s="6">
        <f>SUM('1bezr.'!C14)</f>
        <v>2918</v>
      </c>
      <c r="K14" s="6">
        <f t="shared" si="3"/>
        <v>1490</v>
      </c>
      <c r="L14" s="24">
        <f t="shared" si="2"/>
        <v>51.062371487320078</v>
      </c>
    </row>
    <row r="15" spans="2:12" x14ac:dyDescent="0.2">
      <c r="B15" s="5" t="s">
        <v>12</v>
      </c>
      <c r="C15" s="6">
        <v>1594</v>
      </c>
      <c r="D15" s="61">
        <v>1579</v>
      </c>
      <c r="E15" s="6">
        <f t="shared" si="0"/>
        <v>15</v>
      </c>
      <c r="F15" s="61">
        <v>1621</v>
      </c>
      <c r="G15" s="6">
        <f t="shared" si="1"/>
        <v>-27</v>
      </c>
      <c r="I15" s="5" t="s">
        <v>12</v>
      </c>
      <c r="J15" s="6">
        <f>SUM('1bezr.'!C15)</f>
        <v>3011</v>
      </c>
      <c r="K15" s="6">
        <f t="shared" si="3"/>
        <v>1594</v>
      </c>
      <c r="L15" s="24">
        <f t="shared" si="2"/>
        <v>52.939222849551648</v>
      </c>
    </row>
    <row r="16" spans="2:12" x14ac:dyDescent="0.2">
      <c r="B16" s="5" t="s">
        <v>13</v>
      </c>
      <c r="C16" s="6">
        <v>1485</v>
      </c>
      <c r="D16" s="61">
        <v>1450</v>
      </c>
      <c r="E16" s="6">
        <f t="shared" si="0"/>
        <v>35</v>
      </c>
      <c r="F16" s="61">
        <v>1614</v>
      </c>
      <c r="G16" s="6">
        <f t="shared" si="1"/>
        <v>-129</v>
      </c>
      <c r="I16" s="5" t="s">
        <v>13</v>
      </c>
      <c r="J16" s="6">
        <f>SUM('1bezr.'!C16)</f>
        <v>2757</v>
      </c>
      <c r="K16" s="6">
        <f t="shared" si="3"/>
        <v>1485</v>
      </c>
      <c r="L16" s="24">
        <f t="shared" si="2"/>
        <v>53.862894450489662</v>
      </c>
    </row>
    <row r="17" spans="2:12" x14ac:dyDescent="0.2">
      <c r="B17" s="5" t="s">
        <v>14</v>
      </c>
      <c r="C17" s="6">
        <v>1834</v>
      </c>
      <c r="D17" s="61">
        <v>1791</v>
      </c>
      <c r="E17" s="6">
        <f t="shared" si="0"/>
        <v>43</v>
      </c>
      <c r="F17" s="61">
        <v>2079</v>
      </c>
      <c r="G17" s="6">
        <f t="shared" si="1"/>
        <v>-245</v>
      </c>
      <c r="I17" s="5" t="s">
        <v>14</v>
      </c>
      <c r="J17" s="6">
        <f>SUM('1bezr.'!C17)</f>
        <v>3300</v>
      </c>
      <c r="K17" s="6">
        <f t="shared" si="3"/>
        <v>1834</v>
      </c>
      <c r="L17" s="24">
        <f t="shared" si="2"/>
        <v>55.575757575757578</v>
      </c>
    </row>
    <row r="18" spans="2:12" x14ac:dyDescent="0.2">
      <c r="B18" s="5" t="s">
        <v>15</v>
      </c>
      <c r="C18" s="6">
        <v>1440</v>
      </c>
      <c r="D18" s="61">
        <v>1402</v>
      </c>
      <c r="E18" s="6">
        <f t="shared" si="0"/>
        <v>38</v>
      </c>
      <c r="F18" s="61">
        <v>1669</v>
      </c>
      <c r="G18" s="6">
        <f t="shared" si="1"/>
        <v>-229</v>
      </c>
      <c r="I18" s="5" t="s">
        <v>15</v>
      </c>
      <c r="J18" s="6">
        <f>SUM('1bezr.'!C18)</f>
        <v>2594</v>
      </c>
      <c r="K18" s="6">
        <f t="shared" si="3"/>
        <v>1440</v>
      </c>
      <c r="L18" s="24">
        <f t="shared" si="2"/>
        <v>55.512721665381648</v>
      </c>
    </row>
    <row r="19" spans="2:12" x14ac:dyDescent="0.2">
      <c r="B19" s="5" t="s">
        <v>16</v>
      </c>
      <c r="C19" s="6">
        <v>2356</v>
      </c>
      <c r="D19" s="61">
        <v>2329</v>
      </c>
      <c r="E19" s="6">
        <f t="shared" si="0"/>
        <v>27</v>
      </c>
      <c r="F19" s="61">
        <v>2541</v>
      </c>
      <c r="G19" s="6">
        <f t="shared" si="1"/>
        <v>-185</v>
      </c>
      <c r="I19" s="5" t="s">
        <v>16</v>
      </c>
      <c r="J19" s="6">
        <f>SUM('1bezr.'!C19)</f>
        <v>4625</v>
      </c>
      <c r="K19" s="6">
        <f t="shared" si="3"/>
        <v>2356</v>
      </c>
      <c r="L19" s="24">
        <f t="shared" si="2"/>
        <v>50.940540540540539</v>
      </c>
    </row>
    <row r="20" spans="2:12" x14ac:dyDescent="0.2">
      <c r="B20" s="5" t="s">
        <v>17</v>
      </c>
      <c r="C20" s="6">
        <v>1383</v>
      </c>
      <c r="D20" s="61">
        <v>1366</v>
      </c>
      <c r="E20" s="6">
        <f t="shared" si="0"/>
        <v>17</v>
      </c>
      <c r="F20" s="61">
        <v>1274</v>
      </c>
      <c r="G20" s="6">
        <f t="shared" si="1"/>
        <v>109</v>
      </c>
      <c r="I20" s="5" t="s">
        <v>17</v>
      </c>
      <c r="J20" s="6">
        <f>SUM('1bezr.'!C20)</f>
        <v>2664</v>
      </c>
      <c r="K20" s="6">
        <f t="shared" si="3"/>
        <v>1383</v>
      </c>
      <c r="L20" s="24">
        <f t="shared" si="2"/>
        <v>51.914414414414409</v>
      </c>
    </row>
    <row r="21" spans="2:12" x14ac:dyDescent="0.2">
      <c r="B21" s="5" t="s">
        <v>18</v>
      </c>
      <c r="C21" s="6">
        <v>1064</v>
      </c>
      <c r="D21" s="61">
        <v>1035</v>
      </c>
      <c r="E21" s="6">
        <f t="shared" si="0"/>
        <v>29</v>
      </c>
      <c r="F21" s="61">
        <v>1146</v>
      </c>
      <c r="G21" s="6">
        <f t="shared" si="1"/>
        <v>-82</v>
      </c>
      <c r="I21" s="5" t="s">
        <v>18</v>
      </c>
      <c r="J21" s="6">
        <f>SUM('1bezr.'!C21)</f>
        <v>1923</v>
      </c>
      <c r="K21" s="6">
        <f t="shared" si="3"/>
        <v>1064</v>
      </c>
      <c r="L21" s="24">
        <f t="shared" si="2"/>
        <v>55.330213208528342</v>
      </c>
    </row>
    <row r="22" spans="2:12" x14ac:dyDescent="0.2">
      <c r="B22" s="5" t="s">
        <v>19</v>
      </c>
      <c r="C22" s="6">
        <v>1626</v>
      </c>
      <c r="D22" s="61">
        <v>1596</v>
      </c>
      <c r="E22" s="6">
        <f t="shared" si="0"/>
        <v>30</v>
      </c>
      <c r="F22" s="61">
        <v>1739</v>
      </c>
      <c r="G22" s="6">
        <f t="shared" si="1"/>
        <v>-113</v>
      </c>
      <c r="I22" s="5" t="s">
        <v>19</v>
      </c>
      <c r="J22" s="6">
        <f>SUM('1bezr.'!C22)</f>
        <v>3030</v>
      </c>
      <c r="K22" s="6">
        <f t="shared" si="3"/>
        <v>1626</v>
      </c>
      <c r="L22" s="24">
        <f t="shared" si="2"/>
        <v>53.663366336633665</v>
      </c>
    </row>
    <row r="23" spans="2:12" x14ac:dyDescent="0.2">
      <c r="B23" s="5" t="s">
        <v>20</v>
      </c>
      <c r="C23" s="6">
        <v>690</v>
      </c>
      <c r="D23" s="61">
        <v>659</v>
      </c>
      <c r="E23" s="6">
        <f t="shared" si="0"/>
        <v>31</v>
      </c>
      <c r="F23" s="61">
        <v>737</v>
      </c>
      <c r="G23" s="6">
        <f t="shared" si="1"/>
        <v>-47</v>
      </c>
      <c r="I23" s="5" t="s">
        <v>20</v>
      </c>
      <c r="J23" s="6">
        <f>SUM('1bezr.'!C23)</f>
        <v>1268</v>
      </c>
      <c r="K23" s="6">
        <f t="shared" si="3"/>
        <v>690</v>
      </c>
      <c r="L23" s="24">
        <f t="shared" si="2"/>
        <v>54.416403785488953</v>
      </c>
    </row>
    <row r="24" spans="2:12" x14ac:dyDescent="0.2">
      <c r="B24" s="5" t="s">
        <v>21</v>
      </c>
      <c r="C24" s="6">
        <v>429</v>
      </c>
      <c r="D24" s="61">
        <v>401</v>
      </c>
      <c r="E24" s="6">
        <f t="shared" si="0"/>
        <v>28</v>
      </c>
      <c r="F24" s="61">
        <v>425</v>
      </c>
      <c r="G24" s="6">
        <f t="shared" si="1"/>
        <v>4</v>
      </c>
      <c r="I24" s="5" t="s">
        <v>21</v>
      </c>
      <c r="J24" s="6">
        <f>SUM('1bezr.'!C24)</f>
        <v>781</v>
      </c>
      <c r="K24" s="6">
        <f t="shared" si="3"/>
        <v>429</v>
      </c>
      <c r="L24" s="24">
        <f t="shared" si="2"/>
        <v>54.929577464788736</v>
      </c>
    </row>
    <row r="25" spans="2:12" x14ac:dyDescent="0.2">
      <c r="B25" s="5" t="s">
        <v>22</v>
      </c>
      <c r="C25" s="6">
        <v>1191</v>
      </c>
      <c r="D25" s="61">
        <v>1178</v>
      </c>
      <c r="E25" s="6">
        <f t="shared" si="0"/>
        <v>13</v>
      </c>
      <c r="F25" s="61">
        <v>1247</v>
      </c>
      <c r="G25" s="6">
        <f t="shared" si="1"/>
        <v>-56</v>
      </c>
      <c r="I25" s="5" t="s">
        <v>22</v>
      </c>
      <c r="J25" s="6">
        <f>SUM('1bezr.'!C25)</f>
        <v>2343</v>
      </c>
      <c r="K25" s="6">
        <f t="shared" si="3"/>
        <v>1191</v>
      </c>
      <c r="L25" s="24">
        <f t="shared" si="2"/>
        <v>50.832266325224076</v>
      </c>
    </row>
    <row r="26" spans="2:12" x14ac:dyDescent="0.2">
      <c r="B26" s="5" t="s">
        <v>23</v>
      </c>
      <c r="C26" s="6">
        <v>2747</v>
      </c>
      <c r="D26" s="61">
        <v>2752</v>
      </c>
      <c r="E26" s="6">
        <f t="shared" si="0"/>
        <v>-5</v>
      </c>
      <c r="F26" s="61">
        <v>3118</v>
      </c>
      <c r="G26" s="6">
        <f t="shared" si="1"/>
        <v>-371</v>
      </c>
      <c r="I26" s="5" t="s">
        <v>23</v>
      </c>
      <c r="J26" s="6">
        <f>SUM('1bezr.'!C26)</f>
        <v>5257</v>
      </c>
      <c r="K26" s="6">
        <f t="shared" si="3"/>
        <v>2747</v>
      </c>
      <c r="L26" s="24">
        <f t="shared" si="2"/>
        <v>52.254137340688608</v>
      </c>
    </row>
    <row r="27" spans="2:12" x14ac:dyDescent="0.2">
      <c r="B27" s="5" t="s">
        <v>24</v>
      </c>
      <c r="C27" s="6">
        <v>540</v>
      </c>
      <c r="D27" s="61">
        <v>544</v>
      </c>
      <c r="E27" s="6">
        <f>SUM(C27)-D27</f>
        <v>-4</v>
      </c>
      <c r="F27" s="61">
        <v>612</v>
      </c>
      <c r="G27" s="6">
        <f>SUM(C27)-F27</f>
        <v>-72</v>
      </c>
      <c r="I27" s="5" t="s">
        <v>24</v>
      </c>
      <c r="J27" s="6">
        <f>SUM('1bezr.'!C27)</f>
        <v>1078</v>
      </c>
      <c r="K27" s="6">
        <f t="shared" si="3"/>
        <v>540</v>
      </c>
      <c r="L27" s="24">
        <f t="shared" si="2"/>
        <v>50.092764378478662</v>
      </c>
    </row>
    <row r="28" spans="2:12" ht="15" x14ac:dyDescent="0.25">
      <c r="B28" s="58" t="s">
        <v>25</v>
      </c>
      <c r="C28" s="59">
        <f>SUM(C3:C27)</f>
        <v>35110</v>
      </c>
      <c r="D28" s="60">
        <f>SUM(D3:D27)</f>
        <v>34612</v>
      </c>
      <c r="E28" s="59">
        <f>SUM(E3:E27)</f>
        <v>498</v>
      </c>
      <c r="F28" s="60">
        <f>SUM(F3:F27)</f>
        <v>37444</v>
      </c>
      <c r="G28" s="59">
        <f>SUM(G3:G27)</f>
        <v>-2334</v>
      </c>
      <c r="I28" s="58" t="s">
        <v>25</v>
      </c>
      <c r="J28" s="59">
        <f>SUM(J3:J27)</f>
        <v>65861</v>
      </c>
      <c r="K28" s="59">
        <f>SUM(K3:K27)</f>
        <v>35110</v>
      </c>
      <c r="L28" s="64">
        <f t="shared" si="2"/>
        <v>53.309242191888984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80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T('2kob.'!B2)</f>
        <v>powiaty</v>
      </c>
      <c r="D3" s="55" t="str">
        <f>T('2kob.'!C2)</f>
        <v>liczba bezrobotnych kobiet stan na 31 VIII '23 r.</v>
      </c>
      <c r="E3" s="55" t="str">
        <f>T('2kob.'!D2)</f>
        <v>liczba bezrobotnych kobiet stan na 31 VII '23 r.</v>
      </c>
      <c r="F3" s="55" t="str">
        <f>T('2kob.'!E2)</f>
        <v>wzrost/spadek do poprzedniego  miesiąca</v>
      </c>
      <c r="G3" s="55" t="str">
        <f>T('2kob.'!F2)</f>
        <v>liczba bezrobotnych kobiet stan na 31 VIII '22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429</v>
      </c>
      <c r="E4" s="61">
        <f>INDEX('2kob.'!B3:G28,MATCH(1,B4:B29,0),3)</f>
        <v>401</v>
      </c>
      <c r="F4" s="6">
        <f>INDEX('2kob.'!B3:G28,MATCH(1,B4:B29,0),4)</f>
        <v>28</v>
      </c>
      <c r="G4" s="61">
        <f>INDEX('2kob.'!B3:G28,MATCH(1,B4:B29,0),5)</f>
        <v>425</v>
      </c>
      <c r="H4" s="6">
        <f>INDEX('2kob.'!B3:G28,MATCH(1,B4:B29,0),6)</f>
        <v>4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497</v>
      </c>
      <c r="E5" s="61">
        <f>INDEX('2kob.'!B3:G28,MATCH(2,B4:B29,0),3)</f>
        <v>501</v>
      </c>
      <c r="F5" s="6">
        <f>INDEX('2kob.'!B3:G28,MATCH(2,B4:B29,0),4)</f>
        <v>-4</v>
      </c>
      <c r="G5" s="61">
        <f>INDEX('2kob.'!B3:G28,MATCH(2,B4:B29,0),5)</f>
        <v>550</v>
      </c>
      <c r="H5" s="6">
        <f>INDEX('2kob.'!B3:G28,MATCH(2,B4:B29,0),6)</f>
        <v>-53</v>
      </c>
    </row>
    <row r="6" spans="2:8" x14ac:dyDescent="0.2">
      <c r="B6" s="6">
        <f>RANK('2kob.'!C5,'2kob.'!$C$3:'2kob.'!$C$28,1)+COUNTIF('2kob.'!$C$3:'2kob.'!C5,'2kob.'!C5)-1</f>
        <v>16</v>
      </c>
      <c r="C6" s="5" t="str">
        <f>INDEX('2kob.'!B3:G28,MATCH(3,B4:B29,0),1)</f>
        <v>Tarnobrzeg</v>
      </c>
      <c r="D6" s="6">
        <f>INDEX('2kob.'!B3:G28,MATCH(3,B4:B29,0),2)</f>
        <v>540</v>
      </c>
      <c r="E6" s="61">
        <f>INDEX('2kob.'!B3:G28,MATCH(3,B4:B29,0),3)</f>
        <v>544</v>
      </c>
      <c r="F6" s="6">
        <f>INDEX('2kob.'!B3:G28,MATCH(3,B4:B29,0),4)</f>
        <v>-4</v>
      </c>
      <c r="G6" s="61">
        <f>INDEX('2kob.'!B3:G28,MATCH(3,B4:B29,0),5)</f>
        <v>612</v>
      </c>
      <c r="H6" s="6">
        <f>INDEX('2kob.'!B3:G28,MATCH(3,B4:B29,0),6)</f>
        <v>-72</v>
      </c>
    </row>
    <row r="7" spans="2:8" x14ac:dyDescent="0.2">
      <c r="B7" s="6">
        <f>RANK('2kob.'!C6,'2kob.'!$C$3:'2kob.'!$C$28,1)+COUNTIF('2kob.'!$C$3:'2kob.'!C6,'2kob.'!C6)-1</f>
        <v>22</v>
      </c>
      <c r="C7" s="5" t="str">
        <f>INDEX('2kob.'!B3:G28,MATCH(4,B4:B29,0),1)</f>
        <v xml:space="preserve">tarnobrzeski </v>
      </c>
      <c r="D7" s="6">
        <f>INDEX('2kob.'!B3:G28,MATCH(4,B4:B29,0),2)</f>
        <v>690</v>
      </c>
      <c r="E7" s="61">
        <f>INDEX('2kob.'!B3:G28,MATCH(4,B4:B29,0),3)</f>
        <v>659</v>
      </c>
      <c r="F7" s="6">
        <f>INDEX('2kob.'!B3:G28,MATCH(4,B4:B29,0),4)</f>
        <v>31</v>
      </c>
      <c r="G7" s="61">
        <f>INDEX('2kob.'!B3:G28,MATCH(4,B4:B29,0),5)</f>
        <v>737</v>
      </c>
      <c r="H7" s="6">
        <f>INDEX('2kob.'!B3:G28,MATCH(4,B4:B29,0),6)</f>
        <v>-47</v>
      </c>
    </row>
    <row r="8" spans="2:8" x14ac:dyDescent="0.2">
      <c r="B8" s="6">
        <f>RANK('2kob.'!C7,'2kob.'!$C$3:'2kob.'!$C$28,1)+COUNTIF('2kob.'!$C$3:'2kob.'!C7,'2kob.'!C7)-1</f>
        <v>24</v>
      </c>
      <c r="C8" s="5" t="str">
        <f>INDEX('2kob.'!B3:G28,MATCH(5,B4:B29,0),1)</f>
        <v>leski</v>
      </c>
      <c r="D8" s="6">
        <f>INDEX('2kob.'!B3:G28,MATCH(5,B4:B29,0),2)</f>
        <v>714</v>
      </c>
      <c r="E8" s="61">
        <f>INDEX('2kob.'!B3:G28,MATCH(5,B4:B29,0),3)</f>
        <v>698</v>
      </c>
      <c r="F8" s="6">
        <f>INDEX('2kob.'!B3:G28,MATCH(5,B4:B29,0),4)</f>
        <v>16</v>
      </c>
      <c r="G8" s="61">
        <f>INDEX('2kob.'!B3:G28,MATCH(5,B4:B29,0),5)</f>
        <v>729</v>
      </c>
      <c r="H8" s="6">
        <f>INDEX('2kob.'!B3:G28,MATCH(5,B4:B29,0),6)</f>
        <v>-15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768</v>
      </c>
      <c r="E9" s="61">
        <f>INDEX('2kob.'!B3:G28,MATCH(6,B4:B29,0),3)</f>
        <v>775</v>
      </c>
      <c r="F9" s="6">
        <f>INDEX('2kob.'!B3:G28,MATCH(6,B4:B29,0),4)</f>
        <v>-7</v>
      </c>
      <c r="G9" s="61">
        <f>INDEX('2kob.'!B3:G28,MATCH(6,B4:B29,0),5)</f>
        <v>886</v>
      </c>
      <c r="H9" s="6">
        <f>INDEX('2kob.'!B3:G28,MATCH(6,B4:B29,0),6)</f>
        <v>-118</v>
      </c>
    </row>
    <row r="10" spans="2:8" x14ac:dyDescent="0.2">
      <c r="B10" s="6">
        <f>RANK('2kob.'!C9,'2kob.'!$C$3:'2kob.'!$C$28,1)+COUNTIF('2kob.'!$C$3:'2kob.'!C9,'2kob.'!C9)-1</f>
        <v>9</v>
      </c>
      <c r="C10" s="9" t="str">
        <f>INDEX('2kob.'!B3:G28,MATCH(7,B4:B29,0),1)</f>
        <v>lubaczowski</v>
      </c>
      <c r="D10" s="6">
        <f>INDEX('2kob.'!B3:G28,MATCH(7,B4:B29,0),2)</f>
        <v>806</v>
      </c>
      <c r="E10" s="61">
        <f>INDEX('2kob.'!B3:G28,MATCH(7,B4:B29,0),3)</f>
        <v>762</v>
      </c>
      <c r="F10" s="6">
        <f>INDEX('2kob.'!B3:G28,MATCH(7,B4:B29,0),4)</f>
        <v>44</v>
      </c>
      <c r="G10" s="61">
        <f>INDEX('2kob.'!B3:G28,MATCH(7,B4:B29,0),5)</f>
        <v>775</v>
      </c>
      <c r="H10" s="6">
        <f>INDEX('2kob.'!B3:G28,MATCH(7,B4:B29,0),6)</f>
        <v>31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1064</v>
      </c>
      <c r="E11" s="61">
        <f>INDEX('2kob.'!B3:G28,MATCH(8,B4:B29,0),3)</f>
        <v>1035</v>
      </c>
      <c r="F11" s="6">
        <f>INDEX('2kob.'!B3:G28,MATCH(8,B4:B29,0),4)</f>
        <v>29</v>
      </c>
      <c r="G11" s="61">
        <f>INDEX('2kob.'!B3:G28,MATCH(8,B4:B29,0),5)</f>
        <v>1146</v>
      </c>
      <c r="H11" s="6">
        <f>INDEX('2kob.'!B3:G28,MATCH(8,B4:B29,0),6)</f>
        <v>-82</v>
      </c>
    </row>
    <row r="12" spans="2:8" x14ac:dyDescent="0.2">
      <c r="B12" s="6">
        <f>RANK('2kob.'!C11,'2kob.'!$C$3:'2kob.'!$C$28,1)+COUNTIF('2kob.'!$C$3:'2kob.'!C11,'2kob.'!C11)-1</f>
        <v>17</v>
      </c>
      <c r="C12" s="5" t="str">
        <f>INDEX('2kob.'!B3:G28,MATCH(9,B4:B29,0),1)</f>
        <v>krośnieński</v>
      </c>
      <c r="D12" s="6">
        <f>INDEX('2kob.'!B3:G28,MATCH(9,B4:B29,0),2)</f>
        <v>1171</v>
      </c>
      <c r="E12" s="61">
        <f>INDEX('2kob.'!B3:G28,MATCH(9,B4:B29,0),3)</f>
        <v>1147</v>
      </c>
      <c r="F12" s="6">
        <f>INDEX('2kob.'!B3:G28,MATCH(9,B4:B29,0),4)</f>
        <v>24</v>
      </c>
      <c r="G12" s="61">
        <f>INDEX('2kob.'!B3:G28,MATCH(9,B4:B29,0),5)</f>
        <v>1073</v>
      </c>
      <c r="H12" s="6">
        <f>INDEX('2kob.'!B3:G28,MATCH(9,B4:B29,0),6)</f>
        <v>98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Przemyśl</v>
      </c>
      <c r="D13" s="6">
        <f>INDEX('2kob.'!B3:G28,MATCH(10,B4:B29,0),2)</f>
        <v>1191</v>
      </c>
      <c r="E13" s="61">
        <f>INDEX('2kob.'!B3:G28,MATCH(10,B4:B29,0),3)</f>
        <v>1178</v>
      </c>
      <c r="F13" s="6">
        <f>INDEX('2kob.'!B3:G28,MATCH(10,B4:B29,0),4)</f>
        <v>13</v>
      </c>
      <c r="G13" s="61">
        <f>INDEX('2kob.'!B3:G28,MATCH(10,B4:B29,0),5)</f>
        <v>1247</v>
      </c>
      <c r="H13" s="6">
        <f>INDEX('2kob.'!B3:G28,MATCH(10,B4:B29,0),6)</f>
        <v>-56</v>
      </c>
    </row>
    <row r="14" spans="2:8" x14ac:dyDescent="0.2">
      <c r="B14" s="6">
        <f>RANK('2kob.'!C13,'2kob.'!$C$3:'2kob.'!$C$28,1)+COUNTIF('2kob.'!$C$3:'2kob.'!C13,'2kob.'!C13)-1</f>
        <v>11</v>
      </c>
      <c r="C14" s="5" t="str">
        <f>INDEX('2kob.'!B3:G28,MATCH(11,B4:B29,0),1)</f>
        <v>łańcucki</v>
      </c>
      <c r="D14" s="6">
        <f>INDEX('2kob.'!B3:G28,MATCH(11,B4:B29,0),2)</f>
        <v>1285</v>
      </c>
      <c r="E14" s="61">
        <f>INDEX('2kob.'!B3:G28,MATCH(11,B4:B29,0),3)</f>
        <v>1260</v>
      </c>
      <c r="F14" s="6">
        <f>INDEX('2kob.'!B3:G28,MATCH(11,B4:B29,0),4)</f>
        <v>25</v>
      </c>
      <c r="G14" s="61">
        <f>INDEX('2kob.'!B3:G28,MATCH(11,B4:B29,0),5)</f>
        <v>1435</v>
      </c>
      <c r="H14" s="6">
        <f>INDEX('2kob.'!B3:G28,MATCH(11,B4:B29,0),6)</f>
        <v>-150</v>
      </c>
    </row>
    <row r="15" spans="2:8" x14ac:dyDescent="0.2">
      <c r="B15" s="6">
        <f>RANK('2kob.'!C14,'2kob.'!$C$3:'2kob.'!$C$28,1)+COUNTIF('2kob.'!$C$3:'2kob.'!C14,'2kob.'!C14)-1</f>
        <v>15</v>
      </c>
      <c r="C15" s="5" t="str">
        <f>INDEX('2kob.'!B3:G28,MATCH(12,B4:B29,0),1)</f>
        <v>sanocki</v>
      </c>
      <c r="D15" s="6">
        <f>INDEX('2kob.'!B3:G28,MATCH(12,B4:B29,0),2)</f>
        <v>1383</v>
      </c>
      <c r="E15" s="61">
        <f>INDEX('2kob.'!B3:G28,MATCH(12,B4:B29,0),3)</f>
        <v>1366</v>
      </c>
      <c r="F15" s="6">
        <f>INDEX('2kob.'!B3:G28,MATCH(12,B4:B29,0),4)</f>
        <v>17</v>
      </c>
      <c r="G15" s="61">
        <f>INDEX('2kob.'!B3:G28,MATCH(12,B4:B29,0),5)</f>
        <v>1274</v>
      </c>
      <c r="H15" s="6">
        <f>INDEX('2kob.'!B3:G28,MATCH(12,B4:B29,0),6)</f>
        <v>109</v>
      </c>
    </row>
    <row r="16" spans="2:8" x14ac:dyDescent="0.2">
      <c r="B16" s="6">
        <f>RANK('2kob.'!C15,'2kob.'!$C$3:'2kob.'!$C$28,1)+COUNTIF('2kob.'!$C$3:'2kob.'!C15,'2kob.'!C15)-1</f>
        <v>18</v>
      </c>
      <c r="C16" s="5" t="str">
        <f>INDEX('2kob.'!B3:G28,MATCH(13,B4:B29,0),1)</f>
        <v>ropczycko-sędziszowski</v>
      </c>
      <c r="D16" s="6">
        <f>INDEX('2kob.'!B3:G28,MATCH(13,B4:B29,0),2)</f>
        <v>1440</v>
      </c>
      <c r="E16" s="61">
        <f>INDEX('2kob.'!B3:G28,MATCH(13,B4:B29,0),3)</f>
        <v>1402</v>
      </c>
      <c r="F16" s="6">
        <f>INDEX('2kob.'!B3:G28,MATCH(13,B4:B29,0),4)</f>
        <v>38</v>
      </c>
      <c r="G16" s="61">
        <f>INDEX('2kob.'!B3:G28,MATCH(13,B4:B29,0),5)</f>
        <v>1669</v>
      </c>
      <c r="H16" s="6">
        <f>INDEX('2kob.'!B3:G28,MATCH(13,B4:B29,0),6)</f>
        <v>-229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1485</v>
      </c>
      <c r="E17" s="61">
        <f>INDEX('2kob.'!B3:G28,MATCH(14,B4:B29,0),3)</f>
        <v>1450</v>
      </c>
      <c r="F17" s="6">
        <f>INDEX('2kob.'!B3:G28,MATCH(14,B4:B29,0),4)</f>
        <v>35</v>
      </c>
      <c r="G17" s="61">
        <f>INDEX('2kob.'!B3:G28,MATCH(14,B4:B29,0),5)</f>
        <v>1614</v>
      </c>
      <c r="H17" s="6">
        <f>INDEX('2kob.'!B3:G28,MATCH(14,B4:B29,0),6)</f>
        <v>-129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mielecki</v>
      </c>
      <c r="D18" s="6">
        <f>INDEX('2kob.'!B3:G28,MATCH(15,B4:B29,0),2)</f>
        <v>1490</v>
      </c>
      <c r="E18" s="61">
        <f>INDEX('2kob.'!B3:G28,MATCH(15,B4:B29,0),3)</f>
        <v>1462</v>
      </c>
      <c r="F18" s="6">
        <f>INDEX('2kob.'!B3:G28,MATCH(15,B4:B29,0),4)</f>
        <v>28</v>
      </c>
      <c r="G18" s="61">
        <f>INDEX('2kob.'!B3:G28,MATCH(15,B4:B29,0),5)</f>
        <v>1429</v>
      </c>
      <c r="H18" s="6">
        <f>INDEX('2kob.'!B3:G28,MATCH(15,B4:B29,0),6)</f>
        <v>61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dębicki</v>
      </c>
      <c r="D19" s="6">
        <f>INDEX('2kob.'!B3:G28,MATCH(16,B4:B29,0),2)</f>
        <v>1496</v>
      </c>
      <c r="E19" s="61">
        <f>INDEX('2kob.'!B3:G28,MATCH(16,B4:B29,0),3)</f>
        <v>1461</v>
      </c>
      <c r="F19" s="6">
        <f>INDEX('2kob.'!B3:G28,MATCH(16,B4:B29,0),4)</f>
        <v>35</v>
      </c>
      <c r="G19" s="61">
        <f>INDEX('2kob.'!B3:G28,MATCH(16,B4:B29,0),5)</f>
        <v>1572</v>
      </c>
      <c r="H19" s="6">
        <f>INDEX('2kob.'!B3:G28,MATCH(16,B4:B29,0),6)</f>
        <v>-76</v>
      </c>
    </row>
    <row r="20" spans="2:8" x14ac:dyDescent="0.2">
      <c r="B20" s="6">
        <f>RANK('2kob.'!C19,'2kob.'!$C$3:'2kob.'!$C$28,1)+COUNTIF('2kob.'!$C$3:'2kob.'!C19,'2kob.'!C19)-1</f>
        <v>23</v>
      </c>
      <c r="C20" s="5" t="str">
        <f>INDEX('2kob.'!B3:G28,MATCH(17,B4:B29,0),1)</f>
        <v>leżajski</v>
      </c>
      <c r="D20" s="6">
        <f>INDEX('2kob.'!B3:G28,MATCH(17,B4:B29,0),2)</f>
        <v>1546</v>
      </c>
      <c r="E20" s="61">
        <f>INDEX('2kob.'!B3:G28,MATCH(17,B4:B29,0),3)</f>
        <v>1559</v>
      </c>
      <c r="F20" s="6">
        <f>INDEX('2kob.'!B3:G28,MATCH(17,B4:B29,0),4)</f>
        <v>-13</v>
      </c>
      <c r="G20" s="61">
        <f>INDEX('2kob.'!B3:G28,MATCH(17,B4:B29,0),5)</f>
        <v>1694</v>
      </c>
      <c r="H20" s="6">
        <f>INDEX('2kob.'!B3:G28,MATCH(17,B4:B29,0),6)</f>
        <v>-148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niżański</v>
      </c>
      <c r="D21" s="6">
        <f>INDEX('2kob.'!B3:G28,MATCH(18,B4:B29,0),2)</f>
        <v>1594</v>
      </c>
      <c r="E21" s="61">
        <f>INDEX('2kob.'!B3:G28,MATCH(18,B4:B29,0),3)</f>
        <v>1579</v>
      </c>
      <c r="F21" s="6">
        <f>INDEX('2kob.'!B3:G28,MATCH(18,B4:B29,0),4)</f>
        <v>15</v>
      </c>
      <c r="G21" s="61">
        <f>INDEX('2kob.'!B3:G28,MATCH(18,B4:B29,0),5)</f>
        <v>1621</v>
      </c>
      <c r="H21" s="6">
        <f>INDEX('2kob.'!B3:G28,MATCH(18,B4:B29,0),6)</f>
        <v>-27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1626</v>
      </c>
      <c r="E22" s="61">
        <f>INDEX('2kob.'!B3:G28,MATCH(19,B4:B29,0),3)</f>
        <v>1596</v>
      </c>
      <c r="F22" s="6">
        <f>INDEX('2kob.'!B3:G28,MATCH(19,B4:B29,0),4)</f>
        <v>30</v>
      </c>
      <c r="G22" s="61">
        <f>INDEX('2kob.'!B3:G28,MATCH(19,B4:B29,0),5)</f>
        <v>1739</v>
      </c>
      <c r="H22" s="6">
        <f>INDEX('2kob.'!B3:G28,MATCH(19,B4:B29,0),6)</f>
        <v>-113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1834</v>
      </c>
      <c r="E23" s="61">
        <f>INDEX('2kob.'!B3:G28,MATCH(20,B4:B29,0),3)</f>
        <v>1791</v>
      </c>
      <c r="F23" s="6">
        <f>INDEX('2kob.'!B3:G28,MATCH(20,B4:B29,0),4)</f>
        <v>43</v>
      </c>
      <c r="G23" s="61">
        <f>INDEX('2kob.'!B3:G28,MATCH(20,B4:B29,0),5)</f>
        <v>2079</v>
      </c>
      <c r="H23" s="6">
        <f>INDEX('2kob.'!B3:G28,MATCH(20,B4:B29,0),6)</f>
        <v>-245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1950</v>
      </c>
      <c r="E24" s="61">
        <f>INDEX('2kob.'!B3:G28,MATCH(21,B4:B29,0),3)</f>
        <v>1942</v>
      </c>
      <c r="F24" s="6">
        <f>INDEX('2kob.'!B3:G28,MATCH(21,B4:B29,0),4)</f>
        <v>8</v>
      </c>
      <c r="G24" s="61">
        <f>INDEX('2kob.'!B3:G28,MATCH(21,B4:B29,0),5)</f>
        <v>2111</v>
      </c>
      <c r="H24" s="6">
        <f>INDEX('2kob.'!B3:G28,MATCH(21,B4:B29,0),6)</f>
        <v>-161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jarosławski</v>
      </c>
      <c r="D25" s="6">
        <f>INDEX('2kob.'!B3:G28,MATCH(22,B4:B29,0),2)</f>
        <v>2262</v>
      </c>
      <c r="E25" s="61">
        <f>INDEX('2kob.'!B3:G28,MATCH(22,B4:B29,0),3)</f>
        <v>2245</v>
      </c>
      <c r="F25" s="6">
        <f>INDEX('2kob.'!B3:G28,MATCH(22,B4:B29,0),4)</f>
        <v>17</v>
      </c>
      <c r="G25" s="61">
        <f>INDEX('2kob.'!B3:G28,MATCH(22,B4:B29,0),5)</f>
        <v>2563</v>
      </c>
      <c r="H25" s="6">
        <f>INDEX('2kob.'!B3:G28,MATCH(22,B4:B29,0),6)</f>
        <v>-301</v>
      </c>
    </row>
    <row r="26" spans="2:8" x14ac:dyDescent="0.2">
      <c r="B26" s="6">
        <f>RANK('2kob.'!C25,'2kob.'!$C$3:'2kob.'!$C$28,1)+COUNTIF('2kob.'!$C$3:'2kob.'!C25,'2kob.'!C25)-1</f>
        <v>10</v>
      </c>
      <c r="C26" s="5" t="str">
        <f>INDEX('2kob.'!B3:G28,MATCH(23,B4:B29,0),1)</f>
        <v>rzeszowski</v>
      </c>
      <c r="D26" s="6">
        <f>INDEX('2kob.'!B3:G28,MATCH(23,B4:B29,0),2)</f>
        <v>2356</v>
      </c>
      <c r="E26" s="61">
        <f>INDEX('2kob.'!B3:G28,MATCH(23,B4:B29,0),3)</f>
        <v>2329</v>
      </c>
      <c r="F26" s="6">
        <f>INDEX('2kob.'!B3:G28,MATCH(23,B4:B29,0),4)</f>
        <v>27</v>
      </c>
      <c r="G26" s="61">
        <f>INDEX('2kob.'!B3:G28,MATCH(23,B4:B29,0),5)</f>
        <v>2541</v>
      </c>
      <c r="H26" s="6">
        <f>INDEX('2kob.'!B3:G28,MATCH(23,B4:B29,0),6)</f>
        <v>-185</v>
      </c>
    </row>
    <row r="27" spans="2:8" x14ac:dyDescent="0.2">
      <c r="B27" s="6">
        <f>RANK('2kob.'!C26,'2kob.'!$C$3:'2kob.'!$C$28,1)+COUNTIF('2kob.'!$C$3:'2kob.'!C26,'2kob.'!C26)-1</f>
        <v>25</v>
      </c>
      <c r="C27" s="5" t="str">
        <f>INDEX('2kob.'!B3:G28,MATCH(24,B4:B29,0),1)</f>
        <v>jasielski</v>
      </c>
      <c r="D27" s="6">
        <f>INDEX('2kob.'!B3:G28,MATCH(24,B4:B29,0),2)</f>
        <v>2746</v>
      </c>
      <c r="E27" s="61">
        <f>INDEX('2kob.'!B3:G28,MATCH(24,B4:B29,0),3)</f>
        <v>2718</v>
      </c>
      <c r="F27" s="6">
        <f>INDEX('2kob.'!B3:G28,MATCH(24,B4:B29,0),4)</f>
        <v>28</v>
      </c>
      <c r="G27" s="61">
        <f>INDEX('2kob.'!B3:G28,MATCH(24,B4:B29,0),5)</f>
        <v>2805</v>
      </c>
      <c r="H27" s="6">
        <f>INDEX('2kob.'!B3:G28,MATCH(24,B4:B29,0),6)</f>
        <v>-59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Rzeszów</v>
      </c>
      <c r="D28" s="6">
        <f>INDEX('2kob.'!B3:G28,MATCH(25,B4:B29,0),2)</f>
        <v>2747</v>
      </c>
      <c r="E28" s="61">
        <f>INDEX('2kob.'!B3:G28,MATCH(25,B4:B29,0),3)</f>
        <v>2752</v>
      </c>
      <c r="F28" s="6">
        <f>INDEX('2kob.'!B3:G28,MATCH(25,B4:B29,0),4)</f>
        <v>-5</v>
      </c>
      <c r="G28" s="61">
        <f>INDEX('2kob.'!B3:G28,MATCH(25,B4:B29,0),5)</f>
        <v>3118</v>
      </c>
      <c r="H28" s="6">
        <f>INDEX('2kob.'!B3:G28,MATCH(25,B4:B29,0),6)</f>
        <v>-371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35110</v>
      </c>
      <c r="E29" s="63">
        <f>INDEX('2kob.'!B3:G28,MATCH(26,B4:B29,0),3)</f>
        <v>34612</v>
      </c>
      <c r="F29" s="59">
        <f>INDEX('2kob.'!B3:G28,MATCH(26,B4:B29,0),4)</f>
        <v>498</v>
      </c>
      <c r="G29" s="63">
        <f>INDEX('2kob.'!B3:G28,MATCH(26,B4:B29,0),5)</f>
        <v>37444</v>
      </c>
      <c r="H29" s="59">
        <f>INDEX('2kob.'!B3:G28,MATCH(26,B4:B29,0),6)</f>
        <v>-2334</v>
      </c>
    </row>
  </sheetData>
  <pageMargins left="0" right="0" top="0.31496062992125984" bottom="0" header="0" footer="0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H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4" width="16" style="3" customWidth="1"/>
    <col min="5" max="5" width="15.28515625" style="3" customWidth="1"/>
    <col min="6" max="6" width="16.140625" style="3" customWidth="1"/>
    <col min="7" max="7" width="14.7109375" style="3" customWidth="1"/>
    <col min="8" max="8" width="9.140625" style="25"/>
    <col min="9" max="16384" width="9.140625" style="3"/>
  </cols>
  <sheetData>
    <row r="1" spans="1:8" ht="15" customHeight="1" x14ac:dyDescent="0.2">
      <c r="B1" s="2" t="s">
        <v>89</v>
      </c>
    </row>
    <row r="2" spans="1:8" ht="71.25" x14ac:dyDescent="0.2">
      <c r="B2" s="65" t="s">
        <v>27</v>
      </c>
      <c r="C2" s="65" t="s">
        <v>130</v>
      </c>
      <c r="D2" s="66" t="s">
        <v>122</v>
      </c>
      <c r="E2" s="65" t="s">
        <v>81</v>
      </c>
      <c r="F2" s="66" t="s">
        <v>131</v>
      </c>
      <c r="G2" s="65" t="s">
        <v>82</v>
      </c>
    </row>
    <row r="3" spans="1:8" ht="15" x14ac:dyDescent="0.2">
      <c r="A3" s="25">
        <v>1</v>
      </c>
      <c r="B3" s="26" t="s">
        <v>33</v>
      </c>
      <c r="C3" s="27">
        <v>5</v>
      </c>
      <c r="D3" s="27">
        <v>5</v>
      </c>
      <c r="E3" s="27">
        <f t="shared" ref="E3:E19" si="0">SUM(C3)-D3</f>
        <v>0</v>
      </c>
      <c r="F3" s="68">
        <v>5.2</v>
      </c>
      <c r="G3" s="27">
        <f t="shared" ref="G3:G19" si="1">SUM(C3)-F3</f>
        <v>-0.20000000000000018</v>
      </c>
      <c r="H3" s="28"/>
    </row>
    <row r="4" spans="1:8" x14ac:dyDescent="0.2">
      <c r="A4" s="25">
        <v>2</v>
      </c>
      <c r="B4" s="29" t="s">
        <v>34</v>
      </c>
      <c r="C4" s="30">
        <v>4.4000000000000004</v>
      </c>
      <c r="D4" s="30">
        <v>4.4000000000000004</v>
      </c>
      <c r="E4" s="30">
        <f t="shared" si="0"/>
        <v>0</v>
      </c>
      <c r="F4" s="67">
        <v>4.5</v>
      </c>
      <c r="G4" s="30">
        <f t="shared" si="1"/>
        <v>-9.9999999999999645E-2</v>
      </c>
      <c r="H4" s="28"/>
    </row>
    <row r="5" spans="1:8" x14ac:dyDescent="0.2">
      <c r="A5" s="25">
        <v>3</v>
      </c>
      <c r="B5" s="29" t="s">
        <v>35</v>
      </c>
      <c r="C5" s="31">
        <v>7</v>
      </c>
      <c r="D5" s="31">
        <v>7</v>
      </c>
      <c r="E5" s="31">
        <f t="shared" si="0"/>
        <v>0</v>
      </c>
      <c r="F5" s="67">
        <v>7.2</v>
      </c>
      <c r="G5" s="30">
        <f t="shared" si="1"/>
        <v>-0.20000000000000018</v>
      </c>
      <c r="H5" s="28"/>
    </row>
    <row r="6" spans="1:8" x14ac:dyDescent="0.2">
      <c r="A6" s="25">
        <v>4</v>
      </c>
      <c r="B6" s="29" t="s">
        <v>36</v>
      </c>
      <c r="C6" s="30">
        <v>7.5</v>
      </c>
      <c r="D6" s="30">
        <v>7.5</v>
      </c>
      <c r="E6" s="30">
        <f t="shared" si="0"/>
        <v>0</v>
      </c>
      <c r="F6" s="67">
        <v>7.9</v>
      </c>
      <c r="G6" s="30">
        <f t="shared" si="1"/>
        <v>-0.40000000000000036</v>
      </c>
      <c r="H6" s="28"/>
    </row>
    <row r="7" spans="1:8" x14ac:dyDescent="0.2">
      <c r="A7" s="25">
        <v>5</v>
      </c>
      <c r="B7" s="29" t="s">
        <v>37</v>
      </c>
      <c r="C7" s="30">
        <v>4.2</v>
      </c>
      <c r="D7" s="30">
        <v>4.2</v>
      </c>
      <c r="E7" s="30">
        <f t="shared" si="0"/>
        <v>0</v>
      </c>
      <c r="F7" s="67">
        <v>4.3</v>
      </c>
      <c r="G7" s="30">
        <f t="shared" si="1"/>
        <v>-9.9999999999999645E-2</v>
      </c>
      <c r="H7" s="28"/>
    </row>
    <row r="8" spans="1:8" x14ac:dyDescent="0.2">
      <c r="A8" s="25">
        <v>6</v>
      </c>
      <c r="B8" s="29" t="s">
        <v>38</v>
      </c>
      <c r="C8" s="30">
        <v>5.4</v>
      </c>
      <c r="D8" s="30">
        <v>5.5</v>
      </c>
      <c r="E8" s="30">
        <f t="shared" si="0"/>
        <v>-9.9999999999999645E-2</v>
      </c>
      <c r="F8" s="67">
        <v>5.7</v>
      </c>
      <c r="G8" s="30">
        <f t="shared" si="1"/>
        <v>-0.29999999999999982</v>
      </c>
      <c r="H8" s="28"/>
    </row>
    <row r="9" spans="1:8" x14ac:dyDescent="0.2">
      <c r="A9" s="25">
        <v>7</v>
      </c>
      <c r="B9" s="29" t="s">
        <v>39</v>
      </c>
      <c r="C9" s="30">
        <v>4.3</v>
      </c>
      <c r="D9" s="30">
        <v>4.4000000000000004</v>
      </c>
      <c r="E9" s="30">
        <f t="shared" si="0"/>
        <v>-0.10000000000000053</v>
      </c>
      <c r="F9" s="67">
        <v>4.5</v>
      </c>
      <c r="G9" s="30">
        <f t="shared" si="1"/>
        <v>-0.20000000000000018</v>
      </c>
      <c r="H9" s="28"/>
    </row>
    <row r="10" spans="1:8" x14ac:dyDescent="0.2">
      <c r="A10" s="25">
        <v>8</v>
      </c>
      <c r="B10" s="29" t="s">
        <v>40</v>
      </c>
      <c r="C10" s="30">
        <v>4</v>
      </c>
      <c r="D10" s="30">
        <v>4</v>
      </c>
      <c r="E10" s="30">
        <f t="shared" si="0"/>
        <v>0</v>
      </c>
      <c r="F10" s="67">
        <v>4.3</v>
      </c>
      <c r="G10" s="30">
        <f t="shared" si="1"/>
        <v>-0.29999999999999982</v>
      </c>
      <c r="H10" s="28"/>
    </row>
    <row r="11" spans="1:8" x14ac:dyDescent="0.2">
      <c r="A11" s="25">
        <v>9</v>
      </c>
      <c r="B11" s="29" t="s">
        <v>41</v>
      </c>
      <c r="C11" s="30">
        <v>6</v>
      </c>
      <c r="D11" s="30">
        <v>6.1</v>
      </c>
      <c r="E11" s="30">
        <f t="shared" si="0"/>
        <v>-9.9999999999999645E-2</v>
      </c>
      <c r="F11" s="67">
        <v>6</v>
      </c>
      <c r="G11" s="30">
        <f t="shared" si="1"/>
        <v>0</v>
      </c>
      <c r="H11" s="28"/>
    </row>
    <row r="12" spans="1:8" ht="15" x14ac:dyDescent="0.2">
      <c r="A12" s="25">
        <v>10</v>
      </c>
      <c r="B12" s="26" t="s">
        <v>42</v>
      </c>
      <c r="C12" s="27">
        <v>8.5</v>
      </c>
      <c r="D12" s="27">
        <v>8.4</v>
      </c>
      <c r="E12" s="27">
        <f t="shared" si="0"/>
        <v>9.9999999999999645E-2</v>
      </c>
      <c r="F12" s="68">
        <v>8.8000000000000007</v>
      </c>
      <c r="G12" s="27">
        <f t="shared" si="1"/>
        <v>-0.30000000000000071</v>
      </c>
      <c r="H12" s="28"/>
    </row>
    <row r="13" spans="1:8" x14ac:dyDescent="0.2">
      <c r="A13" s="25">
        <v>11</v>
      </c>
      <c r="B13" s="29" t="s">
        <v>43</v>
      </c>
      <c r="C13" s="30">
        <v>7.1</v>
      </c>
      <c r="D13" s="30">
        <v>7.1</v>
      </c>
      <c r="E13" s="30">
        <f t="shared" si="0"/>
        <v>0</v>
      </c>
      <c r="F13" s="67">
        <v>7.2</v>
      </c>
      <c r="G13" s="30">
        <f t="shared" si="1"/>
        <v>-0.10000000000000053</v>
      </c>
      <c r="H13" s="28"/>
    </row>
    <row r="14" spans="1:8" x14ac:dyDescent="0.2">
      <c r="A14" s="25">
        <v>12</v>
      </c>
      <c r="B14" s="29" t="s">
        <v>44</v>
      </c>
      <c r="C14" s="30">
        <v>4.5</v>
      </c>
      <c r="D14" s="30">
        <v>4.4000000000000004</v>
      </c>
      <c r="E14" s="30">
        <f t="shared" si="0"/>
        <v>9.9999999999999645E-2</v>
      </c>
      <c r="F14" s="67">
        <v>4.4000000000000004</v>
      </c>
      <c r="G14" s="30">
        <f t="shared" si="1"/>
        <v>9.9999999999999645E-2</v>
      </c>
      <c r="H14" s="28"/>
    </row>
    <row r="15" spans="1:8" x14ac:dyDescent="0.2">
      <c r="A15" s="25">
        <v>13</v>
      </c>
      <c r="B15" s="29" t="s">
        <v>45</v>
      </c>
      <c r="C15" s="30">
        <v>3.6</v>
      </c>
      <c r="D15" s="30">
        <v>3.6</v>
      </c>
      <c r="E15" s="30">
        <f t="shared" si="0"/>
        <v>0</v>
      </c>
      <c r="F15" s="67">
        <v>3.8</v>
      </c>
      <c r="G15" s="30">
        <f t="shared" si="1"/>
        <v>-0.19999999999999973</v>
      </c>
      <c r="H15" s="28"/>
    </row>
    <row r="16" spans="1:8" x14ac:dyDescent="0.2">
      <c r="A16" s="25">
        <v>14</v>
      </c>
      <c r="B16" s="29" t="s">
        <v>46</v>
      </c>
      <c r="C16" s="30">
        <v>7.6</v>
      </c>
      <c r="D16" s="30">
        <v>7.6</v>
      </c>
      <c r="E16" s="30">
        <f t="shared" si="0"/>
        <v>0</v>
      </c>
      <c r="F16" s="67">
        <v>7.7</v>
      </c>
      <c r="G16" s="30">
        <f t="shared" si="1"/>
        <v>-0.10000000000000053</v>
      </c>
      <c r="H16" s="28"/>
    </row>
    <row r="17" spans="1:8" x14ac:dyDescent="0.2">
      <c r="A17" s="25">
        <v>15</v>
      </c>
      <c r="B17" s="29" t="s">
        <v>47</v>
      </c>
      <c r="C17" s="30">
        <v>8.1</v>
      </c>
      <c r="D17" s="30">
        <v>8.1999999999999993</v>
      </c>
      <c r="E17" s="30">
        <f t="shared" si="0"/>
        <v>-9.9999999999999645E-2</v>
      </c>
      <c r="F17" s="67">
        <v>8.1</v>
      </c>
      <c r="G17" s="30">
        <f t="shared" si="1"/>
        <v>0</v>
      </c>
      <c r="H17" s="28"/>
    </row>
    <row r="18" spans="1:8" x14ac:dyDescent="0.2">
      <c r="A18" s="25">
        <v>16</v>
      </c>
      <c r="B18" s="29" t="s">
        <v>48</v>
      </c>
      <c r="C18" s="30">
        <v>2.9</v>
      </c>
      <c r="D18" s="30">
        <v>2.9</v>
      </c>
      <c r="E18" s="30">
        <f t="shared" si="0"/>
        <v>0</v>
      </c>
      <c r="F18" s="67">
        <v>2.8</v>
      </c>
      <c r="G18" s="30">
        <f t="shared" si="1"/>
        <v>0.10000000000000009</v>
      </c>
      <c r="H18" s="28"/>
    </row>
    <row r="19" spans="1:8" x14ac:dyDescent="0.2">
      <c r="A19" s="25">
        <v>17</v>
      </c>
      <c r="B19" s="29" t="s">
        <v>49</v>
      </c>
      <c r="C19" s="30">
        <v>6.4</v>
      </c>
      <c r="D19" s="30">
        <v>6.3</v>
      </c>
      <c r="E19" s="30">
        <f t="shared" si="0"/>
        <v>0.10000000000000053</v>
      </c>
      <c r="F19" s="67">
        <v>6.5</v>
      </c>
      <c r="G19" s="30">
        <f t="shared" si="1"/>
        <v>-9.9999999999999645E-2</v>
      </c>
      <c r="H19" s="28"/>
    </row>
    <row r="20" spans="1:8" ht="12.75" customHeight="1" x14ac:dyDescent="0.2">
      <c r="B20" s="52" t="s">
        <v>102</v>
      </c>
    </row>
    <row r="21" spans="1:8" ht="13.5" customHeight="1" x14ac:dyDescent="0.2">
      <c r="B21" s="52"/>
    </row>
    <row r="22" spans="1:8" x14ac:dyDescent="0.2">
      <c r="B22" s="53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89</v>
      </c>
    </row>
    <row r="2" spans="1:8" ht="15" x14ac:dyDescent="0.2">
      <c r="C2" s="20"/>
      <c r="D2" s="21"/>
    </row>
    <row r="3" spans="1:8" ht="71.25" x14ac:dyDescent="0.2">
      <c r="B3" s="62" t="s">
        <v>88</v>
      </c>
      <c r="C3" s="55" t="str">
        <f>T('3s.bezr.Pol'!B2)</f>
        <v>powiaty</v>
      </c>
      <c r="D3" s="55" t="str">
        <f>T('3s.bezr.Pol'!C2)</f>
        <v>Stopa bezrobocia stan na 31 VIII '23 r. (w proc.)*</v>
      </c>
      <c r="E3" s="55" t="str">
        <f>T('3s.bezr.Pol'!D2)</f>
        <v>Stopa bezrobocia stan na 31 VII '22 r. (w proc.)*</v>
      </c>
      <c r="F3" s="66" t="str">
        <f>T('3s.bezr.Pol'!E2)</f>
        <v>wzrost lub spadek do poprzedniego miesiąca (pkt. proc.)</v>
      </c>
      <c r="G3" s="55" t="str">
        <f>T('3s.bezr.Pol'!F2)</f>
        <v>Stopa bezrobocia stan na 31 VIII '22 r. (w proc.)*</v>
      </c>
      <c r="H3" s="66" t="str">
        <f>T('3s.bezr.Pol'!G2)</f>
        <v>wzrost lub spadek do analogicznego okresu ubr. (pkt. proc.)</v>
      </c>
    </row>
    <row r="4" spans="1:8" x14ac:dyDescent="0.2">
      <c r="A4" s="3">
        <v>1</v>
      </c>
      <c r="B4" s="6">
        <f>RANK('3s.bezr.Pol'!C3,'3s.bezr.Pol'!$C$3:'3s.bezr.Pol'!$C$19,1)+COUNTIF('3s.bezr.Pol'!$C$3:'3s.bezr.Pol'!C3,'3s.bezr.Pol'!C3)-1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2.9</v>
      </c>
      <c r="E4" s="31">
        <f>INDEX('3s.bezr.Pol'!B3:G19,MATCH(1,B4:B20,0),3)</f>
        <v>2.9</v>
      </c>
      <c r="F4" s="67">
        <f>INDEX('3s.bezr.Pol'!B3:G19,MATCH(1,B4:B20,0),4)</f>
        <v>0</v>
      </c>
      <c r="G4" s="31">
        <f>INDEX('3s.bezr.Pol'!B3:G19,MATCH(1,B4:B20,0),5)</f>
        <v>2.8</v>
      </c>
      <c r="H4" s="67">
        <f>INDEX('3s.bezr.Pol'!B3:G19,MATCH(1,B4:B20,0),6)</f>
        <v>0.10000000000000009</v>
      </c>
    </row>
    <row r="5" spans="1:8" x14ac:dyDescent="0.2">
      <c r="A5" s="3">
        <v>2</v>
      </c>
      <c r="B5" s="6">
        <f>RANK('3s.bezr.Pol'!C4,'3s.bezr.Pol'!$C$3:'3s.bezr.Pol'!$C$19,1)+COUNTIF('3s.bezr.Pol'!$C$3:'3s.bezr.Pol'!C4,'3s.bezr.Pol'!C4)-1</f>
        <v>6</v>
      </c>
      <c r="C5" s="5" t="str">
        <f>INDEX('3s.bezr.Pol'!B3:G19,MATCH(2,B4:B20,0),1)</f>
        <v>ŚLĄSKIE</v>
      </c>
      <c r="D5" s="8">
        <f>INDEX('3s.bezr.Pol'!B3:G19,MATCH(2,B4:B20,0),2)</f>
        <v>3.6</v>
      </c>
      <c r="E5" s="31">
        <f>INDEX('3s.bezr.Pol'!B3:G19,MATCH(2,B4:B20,0),3)</f>
        <v>3.6</v>
      </c>
      <c r="F5" s="67">
        <f>INDEX('3s.bezr.Pol'!B3:G19,MATCH(2,B4:B20,0),4)</f>
        <v>0</v>
      </c>
      <c r="G5" s="31">
        <f>INDEX('3s.bezr.Pol'!B3:G19,MATCH(2,B4:B20,0),5)</f>
        <v>3.8</v>
      </c>
      <c r="H5" s="67">
        <f>INDEX('3s.bezr.Pol'!B3:G19,MATCH(2,B4:B20,0),6)</f>
        <v>-0.19999999999999973</v>
      </c>
    </row>
    <row r="6" spans="1:8" x14ac:dyDescent="0.2">
      <c r="A6" s="3">
        <v>3</v>
      </c>
      <c r="B6" s="6">
        <f>RANK('3s.bezr.Pol'!C5,'3s.bezr.Pol'!$C$3:'3s.bezr.Pol'!$C$19,1)+COUNTIF('3s.bezr.Pol'!$C$3:'3s.bezr.Pol'!C5,'3s.bezr.Pol'!C5)-1</f>
        <v>12</v>
      </c>
      <c r="C6" s="5" t="str">
        <f>INDEX('3s.bezr.Pol'!B3:G19,MATCH(3,B4:B20,0),1)</f>
        <v>MAZOWIECKIE</v>
      </c>
      <c r="D6" s="8">
        <f>INDEX('3s.bezr.Pol'!B3:G19,MATCH(3,B4:B20,0),2)</f>
        <v>4</v>
      </c>
      <c r="E6" s="31">
        <f>INDEX('3s.bezr.Pol'!B3:G19,MATCH(3,B4:B20,0),3)</f>
        <v>4</v>
      </c>
      <c r="F6" s="67">
        <f>INDEX('3s.bezr.Pol'!B3:G19,MATCH(3,B4:B20,0),4)</f>
        <v>0</v>
      </c>
      <c r="G6" s="31">
        <f>INDEX('3s.bezr.Pol'!B3:G19,MATCH(3,B4:B20,0),5)</f>
        <v>4.3</v>
      </c>
      <c r="H6" s="67">
        <f>INDEX('3s.bezr.Pol'!B3:G19,MATCH(3,B4:B20,0),6)</f>
        <v>-0.29999999999999982</v>
      </c>
    </row>
    <row r="7" spans="1:8" x14ac:dyDescent="0.2">
      <c r="A7" s="3">
        <v>4</v>
      </c>
      <c r="B7" s="6">
        <f>RANK('3s.bezr.Pol'!C6,'3s.bezr.Pol'!$C$3:'3s.bezr.Pol'!$C$19,1)+COUNTIF('3s.bezr.Pol'!$C$3:'3s.bezr.Pol'!C6,'3s.bezr.Pol'!C6)-1</f>
        <v>14</v>
      </c>
      <c r="C7" s="5" t="str">
        <f>INDEX('3s.bezr.Pol'!B3:G19,MATCH(4,B4:B20,0),1)</f>
        <v>LUBUSKIE</v>
      </c>
      <c r="D7" s="8">
        <f>INDEX('3s.bezr.Pol'!B3:G19,MATCH(4,B4:B20,0),2)</f>
        <v>4.2</v>
      </c>
      <c r="E7" s="31">
        <f>INDEX('3s.bezr.Pol'!B3:G19,MATCH(4,B4:B20,0),3)</f>
        <v>4.2</v>
      </c>
      <c r="F7" s="67">
        <f>INDEX('3s.bezr.Pol'!B3:G19,MATCH(4,B4:B20,0),4)</f>
        <v>0</v>
      </c>
      <c r="G7" s="31">
        <f>INDEX('3s.bezr.Pol'!B3:G19,MATCH(4,B4:B20,0),5)</f>
        <v>4.3</v>
      </c>
      <c r="H7" s="67">
        <f>INDEX('3s.bezr.Pol'!B3:G19,MATCH(4,B4:B20,0),6)</f>
        <v>-9.9999999999999645E-2</v>
      </c>
    </row>
    <row r="8" spans="1:8" x14ac:dyDescent="0.2">
      <c r="A8" s="3">
        <v>5</v>
      </c>
      <c r="B8" s="6">
        <f>RANK('3s.bezr.Pol'!C7,'3s.bezr.Pol'!$C$3:'3s.bezr.Pol'!$C$19,1)+COUNTIF('3s.bezr.Pol'!$C$3:'3s.bezr.Pol'!C7,'3s.bezr.Pol'!C7)-1</f>
        <v>4</v>
      </c>
      <c r="C8" s="5" t="str">
        <f>INDEX('3s.bezr.Pol'!B3:G19,MATCH(5,B4:B20,0),1)</f>
        <v>MAŁOPOLSKIE</v>
      </c>
      <c r="D8" s="8">
        <f>INDEX('3s.bezr.Pol'!B3:G19,MATCH(5,B4:B20,0),2)</f>
        <v>4.3</v>
      </c>
      <c r="E8" s="31">
        <f>INDEX('3s.bezr.Pol'!B3:G19,MATCH(5,B4:B20,0),3)</f>
        <v>4.4000000000000004</v>
      </c>
      <c r="F8" s="67">
        <f>INDEX('3s.bezr.Pol'!B3:G19,MATCH(5,B4:B20,0),4)</f>
        <v>-0.10000000000000053</v>
      </c>
      <c r="G8" s="31">
        <f>INDEX('3s.bezr.Pol'!B3:G19,MATCH(5,B4:B20,0),5)</f>
        <v>4.5</v>
      </c>
      <c r="H8" s="67">
        <f>INDEX('3s.bezr.Pol'!B3:G19,MATCH(5,B4:B20,0),6)</f>
        <v>-0.20000000000000018</v>
      </c>
    </row>
    <row r="9" spans="1:8" x14ac:dyDescent="0.2">
      <c r="A9" s="3">
        <v>6</v>
      </c>
      <c r="B9" s="6">
        <f>RANK('3s.bezr.Pol'!C8,'3s.bezr.Pol'!$C$3:'3s.bezr.Pol'!$C$19,1)+COUNTIF('3s.bezr.Pol'!$C$3:'3s.bezr.Pol'!C8,'3s.bezr.Pol'!C8)-1</f>
        <v>9</v>
      </c>
      <c r="C9" s="5" t="str">
        <f>INDEX('3s.bezr.Pol'!B3:G19,MATCH(6,B4:B20,0),1)</f>
        <v>DOLNOŚLĄSKIE</v>
      </c>
      <c r="D9" s="8">
        <f>INDEX('3s.bezr.Pol'!B3:G19,MATCH(6,B4:B20,0),2)</f>
        <v>4.4000000000000004</v>
      </c>
      <c r="E9" s="31">
        <f>INDEX('3s.bezr.Pol'!B3:G19,MATCH(6,B4:B20,0),3)</f>
        <v>4.4000000000000004</v>
      </c>
      <c r="F9" s="67">
        <f>INDEX('3s.bezr.Pol'!B3:G19,MATCH(6,B4:B20,0),4)</f>
        <v>0</v>
      </c>
      <c r="G9" s="31">
        <f>INDEX('3s.bezr.Pol'!B3:G19,MATCH(6,B4:B20,0),5)</f>
        <v>4.5</v>
      </c>
      <c r="H9" s="67">
        <f>INDEX('3s.bezr.Pol'!B3:G19,MATCH(6,B4:B20,0),6)</f>
        <v>-9.9999999999999645E-2</v>
      </c>
    </row>
    <row r="10" spans="1:8" x14ac:dyDescent="0.2">
      <c r="A10" s="3">
        <v>7</v>
      </c>
      <c r="B10" s="6">
        <f>RANK('3s.bezr.Pol'!C9,'3s.bezr.Pol'!$C$3:'3s.bezr.Pol'!$C$19,1)+COUNTIF('3s.bezr.Pol'!$C$3:'3s.bezr.Pol'!C9,'3s.bezr.Pol'!C9)-1</f>
        <v>5</v>
      </c>
      <c r="C10" s="9" t="str">
        <f>INDEX('3s.bezr.Pol'!B3:G19,MATCH(7,B4:B20,0),1)</f>
        <v>POMORSKIE</v>
      </c>
      <c r="D10" s="8">
        <f>INDEX('3s.bezr.Pol'!B3:G19,MATCH(7,B4:B20,0),2)</f>
        <v>4.5</v>
      </c>
      <c r="E10" s="31">
        <f>INDEX('3s.bezr.Pol'!B3:G19,MATCH(7,B4:B20,0),3)</f>
        <v>4.4000000000000004</v>
      </c>
      <c r="F10" s="67">
        <f>INDEX('3s.bezr.Pol'!B3:G19,MATCH(7,B4:B20,0),4)</f>
        <v>9.9999999999999645E-2</v>
      </c>
      <c r="G10" s="31">
        <f>INDEX('3s.bezr.Pol'!B3:G19,MATCH(7,B4:B20,0),5)</f>
        <v>4.4000000000000004</v>
      </c>
      <c r="H10" s="67">
        <f>INDEX('3s.bezr.Pol'!B3:G19,MATCH(7,B4:B20,0),6)</f>
        <v>9.9999999999999645E-2</v>
      </c>
    </row>
    <row r="11" spans="1:8" ht="15" x14ac:dyDescent="0.25">
      <c r="A11" s="3">
        <v>8</v>
      </c>
      <c r="B11" s="22">
        <f>RANK('3s.bezr.Pol'!C10,'3s.bezr.Pol'!$C$3:'3s.bezr.Pol'!$C$19,1)+COUNTIF('3s.bezr.Pol'!$C$3:'3s.bezr.Pol'!C10,'3s.bezr.Pol'!C10)-1</f>
        <v>3</v>
      </c>
      <c r="C11" s="41" t="str">
        <f>INDEX('3s.bezr.Pol'!B3:G19,MATCH(8,B4:B20,0),1)</f>
        <v>POLSKA</v>
      </c>
      <c r="D11" s="34">
        <f>INDEX('3s.bezr.Pol'!B3:G19,MATCH(8,B4:B20,0),2)</f>
        <v>5</v>
      </c>
      <c r="E11" s="51">
        <f>INDEX('3s.bezr.Pol'!B3:G19,MATCH(8,B4:B20,0),3)</f>
        <v>5</v>
      </c>
      <c r="F11" s="68">
        <f>INDEX('3s.bezr.Pol'!B3:G19,MATCH(8,B4:B20,0),4)</f>
        <v>0</v>
      </c>
      <c r="G11" s="51">
        <f>INDEX('3s.bezr.Pol'!B3:G19,MATCH(8,B4:B20,0),5)</f>
        <v>5.2</v>
      </c>
      <c r="H11" s="68">
        <f>INDEX('3s.bezr.Pol'!B3:G19,MATCH(8,B4:B20,0),6)</f>
        <v>-0.20000000000000018</v>
      </c>
    </row>
    <row r="12" spans="1:8" x14ac:dyDescent="0.2">
      <c r="A12" s="3">
        <v>9</v>
      </c>
      <c r="B12" s="6">
        <f>RANK('3s.bezr.Pol'!C11,'3s.bezr.Pol'!$C$3:'3s.bezr.Pol'!$C$19,1)+COUNTIF('3s.bezr.Pol'!$C$3:'3s.bezr.Pol'!C11,'3s.bezr.Pol'!C11)-1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5.4</v>
      </c>
      <c r="E12" s="31">
        <f>INDEX('3s.bezr.Pol'!B3:G19,MATCH(9,B4:B20,0),3)</f>
        <v>5.5</v>
      </c>
      <c r="F12" s="67">
        <f>INDEX('3s.bezr.Pol'!B3:G19,MATCH(9,B4:B20,0),4)</f>
        <v>-9.9999999999999645E-2</v>
      </c>
      <c r="G12" s="31">
        <f>INDEX('3s.bezr.Pol'!B3:G19,MATCH(9,B4:B20,0),5)</f>
        <v>5.7</v>
      </c>
      <c r="H12" s="67">
        <f>INDEX('3s.bezr.Pol'!B3:G19,MATCH(9,B4:B20,0),6)</f>
        <v>-0.29999999999999982</v>
      </c>
    </row>
    <row r="13" spans="1:8" x14ac:dyDescent="0.2">
      <c r="A13" s="3">
        <v>10</v>
      </c>
      <c r="B13" s="6">
        <f>RANK('3s.bezr.Pol'!C12,'3s.bezr.Pol'!$C$3:'3s.bezr.Pol'!$C$19,1)+COUNTIF('3s.bezr.Pol'!$C$3:'3s.bezr.Pol'!C12,'3s.bezr.Pol'!C12)-1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6</v>
      </c>
      <c r="E13" s="31">
        <f>INDEX('3s.bezr.Pol'!B3:G19,MATCH(10,B4:B20,0),3)</f>
        <v>6.1</v>
      </c>
      <c r="F13" s="67">
        <f>INDEX('3s.bezr.Pol'!B3:G19,MATCH(10,B4:B20,0),4)</f>
        <v>-9.9999999999999645E-2</v>
      </c>
      <c r="G13" s="31">
        <f>INDEX('3s.bezr.Pol'!B3:G19,MATCH(10,B4:B20,0),5)</f>
        <v>6</v>
      </c>
      <c r="H13" s="67">
        <f>INDEX('3s.bezr.Pol'!B3:G19,MATCH(10,B4:B20,0),6)</f>
        <v>0</v>
      </c>
    </row>
    <row r="14" spans="1:8" x14ac:dyDescent="0.2">
      <c r="A14" s="3">
        <v>11</v>
      </c>
      <c r="B14" s="6">
        <f>RANK('3s.bezr.Pol'!C13,'3s.bezr.Pol'!$C$3:'3s.bezr.Pol'!$C$19,1)+COUNTIF('3s.bezr.Pol'!$C$3:'3s.bezr.Pol'!C13,'3s.bezr.Pol'!C13)-1</f>
        <v>13</v>
      </c>
      <c r="C14" s="5" t="str">
        <f>INDEX('3s.bezr.Pol'!B3:G19,MATCH(11,B4:B20,0),1)</f>
        <v>ZACHODNIOPOMORSKIE</v>
      </c>
      <c r="D14" s="8">
        <f>INDEX('3s.bezr.Pol'!B3:G19,MATCH(11,B4:B20,0),2)</f>
        <v>6.4</v>
      </c>
      <c r="E14" s="31">
        <f>INDEX('3s.bezr.Pol'!B3:G19,MATCH(11,B4:B20,0),3)</f>
        <v>6.3</v>
      </c>
      <c r="F14" s="67">
        <f>INDEX('3s.bezr.Pol'!B3:G19,MATCH(11,B4:B20,0),4)</f>
        <v>0.10000000000000053</v>
      </c>
      <c r="G14" s="31">
        <f>INDEX('3s.bezr.Pol'!B3:G19,MATCH(11,B4:B20,0),5)</f>
        <v>6.5</v>
      </c>
      <c r="H14" s="67">
        <f>INDEX('3s.bezr.Pol'!B3:G19,MATCH(11,B4:B20,0),6)</f>
        <v>-9.9999999999999645E-2</v>
      </c>
    </row>
    <row r="15" spans="1:8" x14ac:dyDescent="0.2">
      <c r="A15" s="3">
        <v>12</v>
      </c>
      <c r="B15" s="6">
        <f>RANK('3s.bezr.Pol'!C14,'3s.bezr.Pol'!$C$3:'3s.bezr.Pol'!$C$19,1)+COUNTIF('3s.bezr.Pol'!$C$3:'3s.bezr.Pol'!C14,'3s.bezr.Pol'!C14)-1</f>
        <v>7</v>
      </c>
      <c r="C15" s="5" t="str">
        <f>INDEX('3s.bezr.Pol'!B3:G19,MATCH(12,B4:B20,0),1)</f>
        <v>KUJAWSKO-POMORSKIE</v>
      </c>
      <c r="D15" s="8">
        <f>INDEX('3s.bezr.Pol'!B3:G19,MATCH(12,B4:B20,0),2)</f>
        <v>7</v>
      </c>
      <c r="E15" s="31">
        <f>INDEX('3s.bezr.Pol'!B3:G19,MATCH(12,B4:B20,0),3)</f>
        <v>7</v>
      </c>
      <c r="F15" s="67">
        <f>INDEX('3s.bezr.Pol'!B3:G19,MATCH(12,B4:B20,0),4)</f>
        <v>0</v>
      </c>
      <c r="G15" s="31">
        <f>INDEX('3s.bezr.Pol'!B3:G19,MATCH(12,B4:B20,0),5)</f>
        <v>7.2</v>
      </c>
      <c r="H15" s="67">
        <f>INDEX('3s.bezr.Pol'!B3:G19,MATCH(12,B4:B20,0),6)</f>
        <v>-0.20000000000000018</v>
      </c>
    </row>
    <row r="16" spans="1:8" x14ac:dyDescent="0.2">
      <c r="A16" s="3">
        <v>13</v>
      </c>
      <c r="B16" s="6">
        <f>RANK('3s.bezr.Pol'!C15,'3s.bezr.Pol'!$C$3:'3s.bezr.Pol'!$C$19,1)+COUNTIF('3s.bezr.Pol'!$C$3:'3s.bezr.Pol'!C15,'3s.bezr.Pol'!C15)-1</f>
        <v>2</v>
      </c>
      <c r="C16" s="5" t="str">
        <f>INDEX('3s.bezr.Pol'!B3:G19,MATCH(13,B4:B20,0),1)</f>
        <v>PODLASKIE</v>
      </c>
      <c r="D16" s="8">
        <f>INDEX('3s.bezr.Pol'!B3:G19,MATCH(13,B4:B20,0),2)</f>
        <v>7.1</v>
      </c>
      <c r="E16" s="31">
        <f>INDEX('3s.bezr.Pol'!B3:G19,MATCH(13,B4:B20,0),3)</f>
        <v>7.1</v>
      </c>
      <c r="F16" s="67">
        <f>INDEX('3s.bezr.Pol'!B3:G19,MATCH(13,B4:B20,0),4)</f>
        <v>0</v>
      </c>
      <c r="G16" s="31">
        <f>INDEX('3s.bezr.Pol'!B3:G19,MATCH(13,B4:B20,0),5)</f>
        <v>7.2</v>
      </c>
      <c r="H16" s="67">
        <f>INDEX('3s.bezr.Pol'!B3:G19,MATCH(13,B4:B20,0),6)</f>
        <v>-0.10000000000000053</v>
      </c>
    </row>
    <row r="17" spans="1:8" x14ac:dyDescent="0.2">
      <c r="A17" s="3">
        <v>14</v>
      </c>
      <c r="B17" s="6">
        <f>RANK('3s.bezr.Pol'!C16,'3s.bezr.Pol'!$C$3:'3s.bezr.Pol'!$C$19,1)+COUNTIF('3s.bezr.Pol'!$C$3:'3s.bezr.Pol'!C16,'3s.bezr.Pol'!C16)-1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7.5</v>
      </c>
      <c r="E17" s="31">
        <f>INDEX('3s.bezr.Pol'!B3:G19,MATCH(14,B4:B20,0),3)</f>
        <v>7.5</v>
      </c>
      <c r="F17" s="67">
        <f>INDEX('3s.bezr.Pol'!B3:G19,MATCH(14,B4:B20,0),4)</f>
        <v>0</v>
      </c>
      <c r="G17" s="31">
        <f>INDEX('3s.bezr.Pol'!B3:G19,MATCH(14,B4:B20,0),5)</f>
        <v>7.9</v>
      </c>
      <c r="H17" s="67">
        <f>INDEX('3s.bezr.Pol'!B3:G19,MATCH(14,B4:B20,0),6)</f>
        <v>-0.40000000000000036</v>
      </c>
    </row>
    <row r="18" spans="1:8" x14ac:dyDescent="0.2">
      <c r="A18" s="3">
        <v>15</v>
      </c>
      <c r="B18" s="6">
        <f>RANK('3s.bezr.Pol'!C17,'3s.bezr.Pol'!$C$3:'3s.bezr.Pol'!$C$19,1)+COUNTIF('3s.bezr.Pol'!$C$3:'3s.bezr.Pol'!C17,'3s.bezr.Pol'!C17)-1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7.6</v>
      </c>
      <c r="E18" s="31">
        <f>INDEX('3s.bezr.Pol'!B3:G19,MATCH(15,B4:B20,0),3)</f>
        <v>7.6</v>
      </c>
      <c r="F18" s="67">
        <f>INDEX('3s.bezr.Pol'!B3:G19,MATCH(15,B4:B20,0),4)</f>
        <v>0</v>
      </c>
      <c r="G18" s="31">
        <f>INDEX('3s.bezr.Pol'!B3:G19,MATCH(15,B4:B20,0),5)</f>
        <v>7.7</v>
      </c>
      <c r="H18" s="67">
        <f>INDEX('3s.bezr.Pol'!B3:G19,MATCH(15,B4:B20,0),6)</f>
        <v>-0.10000000000000053</v>
      </c>
    </row>
    <row r="19" spans="1:8" x14ac:dyDescent="0.2">
      <c r="A19" s="3">
        <v>16</v>
      </c>
      <c r="B19" s="6">
        <f>RANK('3s.bezr.Pol'!C18,'3s.bezr.Pol'!$C$3:'3s.bezr.Pol'!$C$19,1)+COUNTIF('3s.bezr.Pol'!$C$3:'3s.bezr.Pol'!C18,'3s.bezr.Pol'!C18)-1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8.1</v>
      </c>
      <c r="E19" s="31">
        <f>INDEX('3s.bezr.Pol'!B3:G19,MATCH(16,B4:B20,0),3)</f>
        <v>8.1999999999999993</v>
      </c>
      <c r="F19" s="67">
        <f>INDEX('3s.bezr.Pol'!B3:G19,MATCH(16,B4:B20,0),4)</f>
        <v>-9.9999999999999645E-2</v>
      </c>
      <c r="G19" s="31">
        <f>INDEX('3s.bezr.Pol'!B3:G19,MATCH(16,B4:B20,0),5)</f>
        <v>8.1</v>
      </c>
      <c r="H19" s="67">
        <f>INDEX('3s.bezr.Pol'!B3:G19,MATCH(16,B4:B20,0),6)</f>
        <v>0</v>
      </c>
    </row>
    <row r="20" spans="1:8" x14ac:dyDescent="0.2">
      <c r="A20" s="3">
        <v>17</v>
      </c>
      <c r="B20" s="6">
        <f>RANK('3s.bezr.Pol'!C19,'3s.bezr.Pol'!$C$3:'3s.bezr.Pol'!$C$19,1)+COUNTIF('3s.bezr.Pol'!$C$3:'3s.bezr.Pol'!C19,'3s.bezr.Pol'!C19)-1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8.5</v>
      </c>
      <c r="E20" s="31">
        <f>INDEX('3s.bezr.Pol'!B3:G19,MATCH(17,B4:B20,0),3)</f>
        <v>8.4</v>
      </c>
      <c r="F20" s="67">
        <f>INDEX('3s.bezr.Pol'!B3:G19,MATCH(17,B4:B20,0),4)</f>
        <v>9.9999999999999645E-2</v>
      </c>
      <c r="G20" s="31">
        <f>INDEX('3s.bezr.Pol'!B3:G19,MATCH(17,B4:B20,0),5)</f>
        <v>8.8000000000000007</v>
      </c>
      <c r="H20" s="67">
        <f>INDEX('3s.bezr.Pol'!B3:G19,MATCH(17,B4:B20,0),6)</f>
        <v>-0.30000000000000071</v>
      </c>
    </row>
    <row r="21" spans="1:8" x14ac:dyDescent="0.2">
      <c r="B21" s="52" t="s">
        <v>102</v>
      </c>
    </row>
    <row r="22" spans="1:8" x14ac:dyDescent="0.2">
      <c r="B22" s="52"/>
    </row>
    <row r="23" spans="1:8" x14ac:dyDescent="0.2">
      <c r="B23" s="53"/>
    </row>
  </sheetData>
  <pageMargins left="0" right="0" top="0.31496062992125984" bottom="0" header="0" footer="0"/>
  <pageSetup paperSize="9" scale="7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customWidth="1"/>
    <col min="10" max="16384" width="9.140625" style="3"/>
  </cols>
  <sheetData>
    <row r="1" spans="1:8" ht="16.5" customHeight="1" x14ac:dyDescent="0.2">
      <c r="B1" s="2" t="s">
        <v>90</v>
      </c>
    </row>
    <row r="2" spans="1:8" ht="71.25" x14ac:dyDescent="0.2">
      <c r="B2" s="56" t="s">
        <v>27</v>
      </c>
      <c r="C2" s="56" t="s">
        <v>134</v>
      </c>
      <c r="D2" s="57" t="s">
        <v>133</v>
      </c>
      <c r="E2" s="56" t="s">
        <v>75</v>
      </c>
      <c r="F2" s="57" t="s">
        <v>135</v>
      </c>
      <c r="G2" s="56" t="s">
        <v>76</v>
      </c>
    </row>
    <row r="3" spans="1:8" ht="15" x14ac:dyDescent="0.2">
      <c r="A3" s="25">
        <v>1</v>
      </c>
      <c r="B3" s="69" t="s">
        <v>33</v>
      </c>
      <c r="C3" s="70">
        <v>5</v>
      </c>
      <c r="D3" s="71">
        <v>5</v>
      </c>
      <c r="E3" s="72">
        <f>($C$3)-$D$3</f>
        <v>0</v>
      </c>
      <c r="F3" s="71">
        <v>5.2</v>
      </c>
      <c r="G3" s="70">
        <f>($C$3)-$F$3</f>
        <v>-0.20000000000000018</v>
      </c>
      <c r="H3" s="25"/>
    </row>
    <row r="4" spans="1:8" ht="15" x14ac:dyDescent="0.25">
      <c r="A4" s="25">
        <v>2</v>
      </c>
      <c r="B4" s="73" t="s">
        <v>42</v>
      </c>
      <c r="C4" s="74">
        <v>8.5</v>
      </c>
      <c r="D4" s="71">
        <v>8.4</v>
      </c>
      <c r="E4" s="74">
        <f>($C$4)-$D$4</f>
        <v>9.9999999999999645E-2</v>
      </c>
      <c r="F4" s="71">
        <v>8.8000000000000007</v>
      </c>
      <c r="G4" s="74">
        <f>($C$4)-$F$4</f>
        <v>-0.30000000000000071</v>
      </c>
      <c r="H4" s="25"/>
    </row>
    <row r="5" spans="1:8" x14ac:dyDescent="0.2">
      <c r="A5" s="25">
        <v>3</v>
      </c>
      <c r="B5" s="29" t="s">
        <v>50</v>
      </c>
      <c r="C5" s="30">
        <v>14.6</v>
      </c>
      <c r="D5" s="75">
        <v>14.9</v>
      </c>
      <c r="E5" s="8">
        <f>($C$5)-$D$5</f>
        <v>-0.30000000000000071</v>
      </c>
      <c r="F5" s="75">
        <v>15.4</v>
      </c>
      <c r="G5" s="8">
        <f>($C$5)-$F$5</f>
        <v>-0.80000000000000071</v>
      </c>
      <c r="H5" s="25"/>
    </row>
    <row r="6" spans="1:8" x14ac:dyDescent="0.2">
      <c r="A6" s="25">
        <v>4</v>
      </c>
      <c r="B6" s="29" t="s">
        <v>51</v>
      </c>
      <c r="C6" s="30">
        <v>19.600000000000001</v>
      </c>
      <c r="D6" s="75">
        <v>19.3</v>
      </c>
      <c r="E6" s="8">
        <f>($C$6)-$D$6</f>
        <v>0.30000000000000071</v>
      </c>
      <c r="F6" s="75">
        <v>20.7</v>
      </c>
      <c r="G6" s="8">
        <f>($C$6)-$F$6</f>
        <v>-1.0999999999999979</v>
      </c>
      <c r="H6" s="25"/>
    </row>
    <row r="7" spans="1:8" x14ac:dyDescent="0.2">
      <c r="A7" s="25">
        <v>5</v>
      </c>
      <c r="B7" s="29" t="s">
        <v>52</v>
      </c>
      <c r="C7" s="30">
        <v>4.7</v>
      </c>
      <c r="D7" s="75">
        <v>4.7</v>
      </c>
      <c r="E7" s="8">
        <f>($C$7)-$D$7</f>
        <v>0</v>
      </c>
      <c r="F7" s="75">
        <v>4.7</v>
      </c>
      <c r="G7" s="8">
        <f>($C$7)-$F$7</f>
        <v>0</v>
      </c>
      <c r="H7" s="25"/>
    </row>
    <row r="8" spans="1:8" x14ac:dyDescent="0.2">
      <c r="A8" s="25">
        <v>6</v>
      </c>
      <c r="B8" s="29" t="s">
        <v>53</v>
      </c>
      <c r="C8" s="30">
        <v>10.6</v>
      </c>
      <c r="D8" s="75">
        <v>10.6</v>
      </c>
      <c r="E8" s="8">
        <f>($C$8)-$D$8</f>
        <v>0</v>
      </c>
      <c r="F8" s="75">
        <v>11.5</v>
      </c>
      <c r="G8" s="8">
        <f>($C$8)-$F$8</f>
        <v>-0.90000000000000036</v>
      </c>
      <c r="H8" s="25"/>
    </row>
    <row r="9" spans="1:8" x14ac:dyDescent="0.2">
      <c r="A9" s="25">
        <v>7</v>
      </c>
      <c r="B9" s="29" t="s">
        <v>54</v>
      </c>
      <c r="C9" s="30">
        <v>12.5</v>
      </c>
      <c r="D9" s="75">
        <v>12.4</v>
      </c>
      <c r="E9" s="8">
        <f>($C$9)-$D$9</f>
        <v>9.9999999999999645E-2</v>
      </c>
      <c r="F9" s="75">
        <v>12.3</v>
      </c>
      <c r="G9" s="8">
        <f>($C$9)-$F$9</f>
        <v>0.19999999999999929</v>
      </c>
      <c r="H9" s="25"/>
    </row>
    <row r="10" spans="1:8" x14ac:dyDescent="0.2">
      <c r="A10" s="25">
        <v>8</v>
      </c>
      <c r="B10" s="29" t="s">
        <v>55</v>
      </c>
      <c r="C10" s="30">
        <v>8.1999999999999993</v>
      </c>
      <c r="D10" s="75">
        <v>8.1999999999999993</v>
      </c>
      <c r="E10" s="8">
        <f>($C$10)-$D$10</f>
        <v>0</v>
      </c>
      <c r="F10" s="75">
        <v>8.6999999999999993</v>
      </c>
      <c r="G10" s="8">
        <f>($C$10)-$F$10</f>
        <v>-0.5</v>
      </c>
      <c r="H10" s="25"/>
    </row>
    <row r="11" spans="1:8" x14ac:dyDescent="0.2">
      <c r="A11" s="25">
        <v>9</v>
      </c>
      <c r="B11" s="29" t="s">
        <v>56</v>
      </c>
      <c r="C11" s="30">
        <v>8.1999999999999993</v>
      </c>
      <c r="D11" s="75">
        <v>8</v>
      </c>
      <c r="E11" s="8">
        <f>($C$11)-$D$11</f>
        <v>0.19999999999999929</v>
      </c>
      <c r="F11" s="75">
        <v>7.2</v>
      </c>
      <c r="G11" s="8">
        <f>($C$11)-$F$11</f>
        <v>0.99999999999999911</v>
      </c>
      <c r="H11" s="25"/>
    </row>
    <row r="12" spans="1:8" ht="15" x14ac:dyDescent="0.25">
      <c r="A12" s="25">
        <v>10</v>
      </c>
      <c r="B12" s="32" t="s">
        <v>57</v>
      </c>
      <c r="C12" s="33">
        <v>17.600000000000001</v>
      </c>
      <c r="D12" s="71">
        <v>17.3</v>
      </c>
      <c r="E12" s="34">
        <f>($C$12)-$D$12</f>
        <v>0.30000000000000071</v>
      </c>
      <c r="F12" s="71">
        <v>17.8</v>
      </c>
      <c r="G12" s="34">
        <f>($C$12)-$F$12</f>
        <v>-0.19999999999999929</v>
      </c>
      <c r="H12" s="28"/>
    </row>
    <row r="13" spans="1:8" x14ac:dyDescent="0.2">
      <c r="A13" s="25">
        <v>11</v>
      </c>
      <c r="B13" s="29" t="s">
        <v>58</v>
      </c>
      <c r="C13" s="30">
        <v>14.2</v>
      </c>
      <c r="D13" s="75">
        <v>14.3</v>
      </c>
      <c r="E13" s="8">
        <f>($C$13)-$D$13</f>
        <v>-0.10000000000000142</v>
      </c>
      <c r="F13" s="75">
        <v>15.5</v>
      </c>
      <c r="G13" s="8">
        <f>($C$13)-$F$13</f>
        <v>-1.3000000000000007</v>
      </c>
      <c r="H13" s="25"/>
    </row>
    <row r="14" spans="1:8" x14ac:dyDescent="0.2">
      <c r="A14" s="25">
        <v>12</v>
      </c>
      <c r="B14" s="29" t="s">
        <v>59</v>
      </c>
      <c r="C14" s="30">
        <v>10.4</v>
      </c>
      <c r="D14" s="75">
        <v>10</v>
      </c>
      <c r="E14" s="8">
        <f>($C$14)-$D$14</f>
        <v>0.40000000000000036</v>
      </c>
      <c r="F14" s="75">
        <v>10</v>
      </c>
      <c r="G14" s="8">
        <f>($C$14)-$F$14</f>
        <v>0.40000000000000036</v>
      </c>
      <c r="H14" s="25"/>
    </row>
    <row r="15" spans="1:8" x14ac:dyDescent="0.2">
      <c r="A15" s="25">
        <v>13</v>
      </c>
      <c r="B15" s="29" t="s">
        <v>60</v>
      </c>
      <c r="C15" s="30">
        <v>9.6</v>
      </c>
      <c r="D15" s="75">
        <v>9.6</v>
      </c>
      <c r="E15" s="8">
        <f>($C$15)-$D$15</f>
        <v>0</v>
      </c>
      <c r="F15" s="75">
        <v>10.3</v>
      </c>
      <c r="G15" s="8">
        <f>($C$15)-$F$15</f>
        <v>-0.70000000000000107</v>
      </c>
      <c r="H15" s="25"/>
    </row>
    <row r="16" spans="1:8" x14ac:dyDescent="0.2">
      <c r="A16" s="25">
        <v>14</v>
      </c>
      <c r="B16" s="29" t="s">
        <v>61</v>
      </c>
      <c r="C16" s="30">
        <v>5</v>
      </c>
      <c r="D16" s="75">
        <v>4.9000000000000004</v>
      </c>
      <c r="E16" s="8">
        <f>($C$16)-$D$16</f>
        <v>9.9999999999999645E-2</v>
      </c>
      <c r="F16" s="75">
        <v>4.5999999999999996</v>
      </c>
      <c r="G16" s="8">
        <f>($C$16)-$F$16</f>
        <v>0.40000000000000036</v>
      </c>
      <c r="H16" s="25"/>
    </row>
    <row r="17" spans="1:8" x14ac:dyDescent="0.2">
      <c r="A17" s="25">
        <v>15</v>
      </c>
      <c r="B17" s="29" t="s">
        <v>62</v>
      </c>
      <c r="C17" s="30">
        <v>17</v>
      </c>
      <c r="D17" s="75">
        <v>17.100000000000001</v>
      </c>
      <c r="E17" s="8">
        <f>($C$17)-$D$17</f>
        <v>-0.10000000000000142</v>
      </c>
      <c r="F17" s="75">
        <v>17.399999999999999</v>
      </c>
      <c r="G17" s="8">
        <f>($C$17)-$F$17</f>
        <v>-0.39999999999999858</v>
      </c>
      <c r="H17" s="25"/>
    </row>
    <row r="18" spans="1:8" x14ac:dyDescent="0.2">
      <c r="A18" s="25">
        <v>16</v>
      </c>
      <c r="B18" s="29" t="s">
        <v>63</v>
      </c>
      <c r="C18" s="30">
        <v>16</v>
      </c>
      <c r="D18" s="75">
        <v>15.9</v>
      </c>
      <c r="E18" s="8">
        <f>($C$18)-$D$18</f>
        <v>9.9999999999999645E-2</v>
      </c>
      <c r="F18" s="75">
        <v>16.8</v>
      </c>
      <c r="G18" s="8">
        <f>($C$18)-$F$18</f>
        <v>-0.80000000000000071</v>
      </c>
      <c r="H18" s="25"/>
    </row>
    <row r="19" spans="1:8" x14ac:dyDescent="0.2">
      <c r="A19" s="25">
        <v>17</v>
      </c>
      <c r="B19" s="29" t="s">
        <v>64</v>
      </c>
      <c r="C19" s="30">
        <v>13.8</v>
      </c>
      <c r="D19" s="75">
        <v>13.7</v>
      </c>
      <c r="E19" s="8">
        <f>($C$19)-$D$19</f>
        <v>0.10000000000000142</v>
      </c>
      <c r="F19" s="75">
        <v>14.7</v>
      </c>
      <c r="G19" s="8">
        <f>($C$19)-$F$19</f>
        <v>-0.89999999999999858</v>
      </c>
      <c r="H19" s="25"/>
    </row>
    <row r="20" spans="1:8" x14ac:dyDescent="0.2">
      <c r="A20" s="25">
        <v>18</v>
      </c>
      <c r="B20" s="29" t="s">
        <v>65</v>
      </c>
      <c r="C20" s="30">
        <v>10.8</v>
      </c>
      <c r="D20" s="75">
        <v>10.7</v>
      </c>
      <c r="E20" s="8">
        <f>($C$20)-$D$20</f>
        <v>0.10000000000000142</v>
      </c>
      <c r="F20" s="75">
        <v>12.1</v>
      </c>
      <c r="G20" s="8">
        <f>($C$20)-$F$20</f>
        <v>-1.2999999999999989</v>
      </c>
      <c r="H20" s="25"/>
    </row>
    <row r="21" spans="1:8" x14ac:dyDescent="0.2">
      <c r="A21" s="25">
        <v>19</v>
      </c>
      <c r="B21" s="29" t="s">
        <v>66</v>
      </c>
      <c r="C21" s="30">
        <v>8.1</v>
      </c>
      <c r="D21" s="75">
        <v>8.1</v>
      </c>
      <c r="E21" s="8">
        <f>($C$21)-$D$21</f>
        <v>0</v>
      </c>
      <c r="F21" s="75">
        <v>8.5</v>
      </c>
      <c r="G21" s="8">
        <f>($C$21)-$F$21</f>
        <v>-0.40000000000000036</v>
      </c>
      <c r="H21" s="25"/>
    </row>
    <row r="22" spans="1:8" x14ac:dyDescent="0.2">
      <c r="A22" s="25">
        <v>20</v>
      </c>
      <c r="B22" s="29" t="s">
        <v>67</v>
      </c>
      <c r="C22" s="30">
        <v>7.8</v>
      </c>
      <c r="D22" s="75">
        <v>7.8</v>
      </c>
      <c r="E22" s="8">
        <f>($C$22)-$D$22</f>
        <v>0</v>
      </c>
      <c r="F22" s="75">
        <v>7.3</v>
      </c>
      <c r="G22" s="8">
        <f>($C$22)-$F$22</f>
        <v>0.5</v>
      </c>
      <c r="H22" s="25"/>
    </row>
    <row r="23" spans="1:8" x14ac:dyDescent="0.2">
      <c r="A23" s="25">
        <v>21</v>
      </c>
      <c r="B23" s="29" t="s">
        <v>68</v>
      </c>
      <c r="C23" s="30">
        <v>4.9000000000000004</v>
      </c>
      <c r="D23" s="75">
        <v>4.8</v>
      </c>
      <c r="E23" s="8">
        <f>($C$23)-$D$23</f>
        <v>0.10000000000000053</v>
      </c>
      <c r="F23" s="75">
        <v>5.0999999999999996</v>
      </c>
      <c r="G23" s="8">
        <f>($C$23)-$F$23</f>
        <v>-0.19999999999999929</v>
      </c>
      <c r="H23" s="25"/>
    </row>
    <row r="24" spans="1:8" x14ac:dyDescent="0.2">
      <c r="A24" s="25">
        <v>22</v>
      </c>
      <c r="B24" s="29" t="s">
        <v>69</v>
      </c>
      <c r="C24" s="30">
        <v>16.899999999999999</v>
      </c>
      <c r="D24" s="75">
        <v>16.8</v>
      </c>
      <c r="E24" s="8">
        <f>($C$24)-$D$24</f>
        <v>9.9999999999997868E-2</v>
      </c>
      <c r="F24" s="75">
        <v>17.7</v>
      </c>
      <c r="G24" s="8">
        <f>($C$24)-$F$24</f>
        <v>-0.80000000000000071</v>
      </c>
      <c r="H24" s="25"/>
    </row>
    <row r="25" spans="1:8" x14ac:dyDescent="0.2">
      <c r="A25" s="25">
        <v>23</v>
      </c>
      <c r="B25" s="29" t="s">
        <v>70</v>
      </c>
      <c r="C25" s="30">
        <v>7.2</v>
      </c>
      <c r="D25" s="75">
        <v>7</v>
      </c>
      <c r="E25" s="8">
        <f>($C$25)-$D$25</f>
        <v>0.20000000000000018</v>
      </c>
      <c r="F25" s="75">
        <v>7.4</v>
      </c>
      <c r="G25" s="8">
        <f>($C$25)-$F$25</f>
        <v>-0.20000000000000018</v>
      </c>
      <c r="H25" s="25"/>
    </row>
    <row r="26" spans="1:8" x14ac:dyDescent="0.2">
      <c r="A26" s="25">
        <v>24</v>
      </c>
      <c r="B26" s="29" t="s">
        <v>71</v>
      </c>
      <c r="C26" s="35">
        <v>2.7</v>
      </c>
      <c r="D26" s="75">
        <v>2.5</v>
      </c>
      <c r="E26" s="8">
        <f>($C$26)-$D$26</f>
        <v>0.20000000000000018</v>
      </c>
      <c r="F26" s="75">
        <v>2.6</v>
      </c>
      <c r="G26" s="8">
        <f>($C$26)-$F$26</f>
        <v>0.10000000000000009</v>
      </c>
      <c r="H26" s="25"/>
    </row>
    <row r="27" spans="1:8" x14ac:dyDescent="0.2">
      <c r="A27" s="25">
        <v>25</v>
      </c>
      <c r="B27" s="29" t="s">
        <v>72</v>
      </c>
      <c r="C27" s="30">
        <v>9</v>
      </c>
      <c r="D27" s="75">
        <v>9.1</v>
      </c>
      <c r="E27" s="8">
        <f>($C$27)-$D$27</f>
        <v>-9.9999999999999645E-2</v>
      </c>
      <c r="F27" s="75">
        <v>9.4</v>
      </c>
      <c r="G27" s="8">
        <f>($C$27)-$F$27</f>
        <v>-0.40000000000000036</v>
      </c>
      <c r="H27" s="25"/>
    </row>
    <row r="28" spans="1:8" x14ac:dyDescent="0.2">
      <c r="A28" s="25">
        <v>26</v>
      </c>
      <c r="B28" s="29" t="s">
        <v>73</v>
      </c>
      <c r="C28" s="30">
        <v>4.0999999999999996</v>
      </c>
      <c r="D28" s="75">
        <v>4.0999999999999996</v>
      </c>
      <c r="E28" s="8">
        <f>($C$28)-$D$28</f>
        <v>0</v>
      </c>
      <c r="F28" s="75">
        <v>4.5</v>
      </c>
      <c r="G28" s="8">
        <f>($C$28)-$F$28</f>
        <v>-0.40000000000000036</v>
      </c>
      <c r="H28" s="25"/>
    </row>
    <row r="29" spans="1:8" x14ac:dyDescent="0.2">
      <c r="A29" s="25">
        <v>27</v>
      </c>
      <c r="B29" s="29" t="s">
        <v>74</v>
      </c>
      <c r="C29" s="30">
        <v>6.9</v>
      </c>
      <c r="D29" s="76">
        <v>6.8</v>
      </c>
      <c r="E29" s="8">
        <f>($C$29)-$D$29</f>
        <v>0.10000000000000053</v>
      </c>
      <c r="F29" s="75">
        <v>7.2</v>
      </c>
      <c r="G29" s="8">
        <f>($C$29)-$F$29</f>
        <v>-0.29999999999999982</v>
      </c>
      <c r="H29" s="25"/>
    </row>
    <row r="30" spans="1:8" x14ac:dyDescent="0.2">
      <c r="B30" s="52" t="s">
        <v>102</v>
      </c>
      <c r="E30" s="28"/>
    </row>
    <row r="31" spans="1:8" x14ac:dyDescent="0.2">
      <c r="B31" s="52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90</v>
      </c>
    </row>
    <row r="2" spans="1:8" ht="15" x14ac:dyDescent="0.2">
      <c r="C2" s="20"/>
      <c r="D2" s="21"/>
    </row>
    <row r="3" spans="1:8" ht="57" x14ac:dyDescent="0.2">
      <c r="B3" s="62" t="s">
        <v>88</v>
      </c>
      <c r="C3" s="55" t="str">
        <f>T('4s.bezr.pow.'!B2)</f>
        <v>powiaty</v>
      </c>
      <c r="D3" s="55" t="str">
        <f>T('4s.bezr.pow.'!C2)</f>
        <v>Stopa bezrobocia stan na 31 VIII '23 r. w proc.*</v>
      </c>
      <c r="E3" s="55" t="str">
        <f>T('4s.bezr.pow.'!D2)</f>
        <v>Stopa bezrobocia stan na 31 VII '23 r. w proc. *</v>
      </c>
      <c r="F3" s="55" t="str">
        <f>T('4s.bezr.pow.'!E2)</f>
        <v>wzrost/spadek do poprzedniego miesiąca (pkt. proc.)</v>
      </c>
      <c r="G3" s="55" t="str">
        <f>T('4s.bezr.pow.'!F2)</f>
        <v>Stopa bezrobocia stan na 31 VIII '22 r. w proc.*</v>
      </c>
      <c r="H3" s="55" t="str">
        <f>T('4s.bezr.pow.'!G2)</f>
        <v>wzrost/spadek do analogicznego okresu ubr.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5</v>
      </c>
      <c r="C4" s="36" t="str">
        <f>INDEX('4s.bezr.pow.'!B3:G29,MATCH(1,B4:B30,0),1)</f>
        <v>Powiat m.Krosno</v>
      </c>
      <c r="D4" s="28">
        <f>INDEX('4s.bezr.pow.'!B3:G29,MATCH(1,B4:B30,0),2)</f>
        <v>2.7</v>
      </c>
      <c r="E4" s="75">
        <f>INDEX('4s.bezr.pow.'!B3:G29,MATCH(1,B4:B30,0),3)</f>
        <v>2.5</v>
      </c>
      <c r="F4" s="24">
        <f>INDEX('4s.bezr.pow.'!B3:G29,MATCH(1,B4:B30,0),4)</f>
        <v>0.20000000000000018</v>
      </c>
      <c r="G4" s="75">
        <f>INDEX('4s.bezr.pow.'!B3:G29,MATCH(1,B4:B30,0),5)</f>
        <v>2.6</v>
      </c>
      <c r="H4" s="24">
        <f>INDEX('4s.bezr.pow.'!B3:G29,MATCH(1,B4:B30,0),6)</f>
        <v>0.10000000000000009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13</v>
      </c>
      <c r="C5" s="5" t="str">
        <f>INDEX('4s.bezr.pow.'!B3:G29,MATCH(2,B4:B30,0),1)</f>
        <v>Powiat m.Rzeszów</v>
      </c>
      <c r="D5" s="8">
        <f>INDEX('4s.bezr.pow.'!B3:G29,MATCH(2,B4:B30,0),2)</f>
        <v>4.0999999999999996</v>
      </c>
      <c r="E5" s="75">
        <f>INDEX('4s.bezr.pow.'!B3:G29,MATCH(2,B4:B30,0),3)</f>
        <v>4.0999999999999996</v>
      </c>
      <c r="F5" s="24">
        <f>INDEX('4s.bezr.pow.'!B3:G29,MATCH(2,B4:B30,0),4)</f>
        <v>0</v>
      </c>
      <c r="G5" s="75">
        <f>INDEX('4s.bezr.pow.'!B3:G29,MATCH(2,B4:B30,0),5)</f>
        <v>4.5</v>
      </c>
      <c r="H5" s="24">
        <f>INDEX('4s.bezr.pow.'!B3:G29,MATCH(2,B4:B30,0),6)</f>
        <v>-0.40000000000000036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4.7</v>
      </c>
      <c r="E6" s="75">
        <f>INDEX('4s.bezr.pow.'!B3:G29,MATCH(3,B4:B30,0),3)</f>
        <v>4.7</v>
      </c>
      <c r="F6" s="24">
        <f>INDEX('4s.bezr.pow.'!B3:G29,MATCH(3,B4:B30,0),4)</f>
        <v>0</v>
      </c>
      <c r="G6" s="75">
        <f>INDEX('4s.bezr.pow.'!B3:G29,MATCH(3,B4:B30,0),5)</f>
        <v>4.7</v>
      </c>
      <c r="H6" s="24">
        <f>INDEX('4s.bezr.pow.'!B3:G29,MATCH(3,B4:B30,0),6)</f>
        <v>0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4.9000000000000004</v>
      </c>
      <c r="E7" s="75">
        <f>INDEX('4s.bezr.pow.'!B3:G29,MATCH(4,B4:B30,0),3)</f>
        <v>4.8</v>
      </c>
      <c r="F7" s="24">
        <f>INDEX('4s.bezr.pow.'!B3:G29,MATCH(4,B4:B30,0),4)</f>
        <v>0.10000000000000053</v>
      </c>
      <c r="G7" s="75">
        <f>INDEX('4s.bezr.pow.'!B3:G29,MATCH(4,B4:B30,0),5)</f>
        <v>5.0999999999999996</v>
      </c>
      <c r="H7" s="24">
        <f>INDEX('4s.bezr.pow.'!B3:G29,MATCH(4,B4:B30,0),6)</f>
        <v>-0.19999999999999929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POLSKA</v>
      </c>
      <c r="D8" s="8">
        <f>INDEX('4s.bezr.pow.'!B3:G29,MATCH(5,B4:B30,0),2)</f>
        <v>5</v>
      </c>
      <c r="E8" s="75">
        <f>INDEX('4s.bezr.pow.'!B3:G29,MATCH(5,B4:B30,0),3)</f>
        <v>5</v>
      </c>
      <c r="F8" s="24">
        <f>INDEX('4s.bezr.pow.'!B3:G29,MATCH(5,B4:B30,0),4)</f>
        <v>0</v>
      </c>
      <c r="G8" s="75">
        <f>INDEX('4s.bezr.pow.'!B3:G29,MATCH(5,B4:B30,0),5)</f>
        <v>5.2</v>
      </c>
      <c r="H8" s="24">
        <f>INDEX('4s.bezr.pow.'!B3:G29,MATCH(5,B4:B30,0),6)</f>
        <v>-0.20000000000000018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17</v>
      </c>
      <c r="C9" s="5" t="str">
        <f>INDEX('4s.bezr.pow.'!B3:G29,MATCH(6,B4:B30,0),1)</f>
        <v>Powiat mielecki</v>
      </c>
      <c r="D9" s="8">
        <f>INDEX('4s.bezr.pow.'!B3:G29,MATCH(6,B4:B30,0),2)</f>
        <v>5</v>
      </c>
      <c r="E9" s="75">
        <f>INDEX('4s.bezr.pow.'!B3:G29,MATCH(6,B4:B30,0),3)</f>
        <v>4.9000000000000004</v>
      </c>
      <c r="F9" s="24">
        <f>INDEX('4s.bezr.pow.'!B3:G29,MATCH(6,B4:B30,0),4)</f>
        <v>9.9999999999999645E-2</v>
      </c>
      <c r="G9" s="75">
        <f>INDEX('4s.bezr.pow.'!B3:G29,MATCH(6,B4:B30,0),5)</f>
        <v>4.5999999999999996</v>
      </c>
      <c r="H9" s="24">
        <f>INDEX('4s.bezr.pow.'!B3:G29,MATCH(6,B4:B30,0),6)</f>
        <v>0.40000000000000036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6.9</v>
      </c>
      <c r="E10" s="75">
        <f>INDEX('4s.bezr.pow.'!B3:G29,MATCH(7,B4:B30,0),3)</f>
        <v>6.8</v>
      </c>
      <c r="F10" s="24">
        <f>INDEX('4s.bezr.pow.'!B3:G29,MATCH(7,B4:B30,0),4)</f>
        <v>0.10000000000000053</v>
      </c>
      <c r="G10" s="75">
        <f>INDEX('4s.bezr.pow.'!B3:G29,MATCH(7,B4:B30,0),5)</f>
        <v>7.2</v>
      </c>
      <c r="H10" s="24">
        <f>INDEX('4s.bezr.pow.'!B3:G29,MATCH(7,B4:B30,0),6)</f>
        <v>-0.29999999999999982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11</v>
      </c>
      <c r="C11" s="5" t="str">
        <f>INDEX('4s.bezr.pow.'!B3:G29,MATCH(8,B4:B30,0),1)</f>
        <v>Powiat tarnobrzeski</v>
      </c>
      <c r="D11" s="8">
        <f>INDEX('4s.bezr.pow.'!B3:G29,MATCH(8,B4:B30,0),2)</f>
        <v>7.2</v>
      </c>
      <c r="E11" s="75">
        <f>INDEX('4s.bezr.pow.'!B3:G29,MATCH(8,B4:B30,0),3)</f>
        <v>7</v>
      </c>
      <c r="F11" s="24">
        <f>INDEX('4s.bezr.pow.'!B3:G29,MATCH(8,B4:B30,0),4)</f>
        <v>0.20000000000000018</v>
      </c>
      <c r="G11" s="75">
        <f>INDEX('4s.bezr.pow.'!B3:G29,MATCH(8,B4:B30,0),5)</f>
        <v>7.4</v>
      </c>
      <c r="H11" s="24">
        <f>INDEX('4s.bezr.pow.'!B3:G29,MATCH(8,B4:B30,0),6)</f>
        <v>-0.20000000000000018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12</v>
      </c>
      <c r="C12" s="5" t="str">
        <f>INDEX('4s.bezr.pow.'!B3:G29,MATCH(9,B4:B30,0),1)</f>
        <v>Powiat sanocki</v>
      </c>
      <c r="D12" s="8">
        <f>INDEX('4s.bezr.pow.'!B3:G29,MATCH(9,B4:B30,0),2)</f>
        <v>7.8</v>
      </c>
      <c r="E12" s="75">
        <f>INDEX('4s.bezr.pow.'!B3:G29,MATCH(9,B4:B30,0),3)</f>
        <v>7.8</v>
      </c>
      <c r="F12" s="24">
        <f>INDEX('4s.bezr.pow.'!B3:G29,MATCH(9,B4:B30,0),4)</f>
        <v>0</v>
      </c>
      <c r="G12" s="75">
        <f>INDEX('4s.bezr.pow.'!B3:G29,MATCH(9,B4:B30,0),5)</f>
        <v>7.3</v>
      </c>
      <c r="H12" s="24">
        <f>INDEX('4s.bezr.pow.'!B3:G29,MATCH(9,B4:B30,0),6)</f>
        <v>0.5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rzeszowski</v>
      </c>
      <c r="D13" s="8">
        <f>INDEX('4s.bezr.pow.'!B3:G29,MATCH(10,B4:B30,0),2)</f>
        <v>8.1</v>
      </c>
      <c r="E13" s="75">
        <f>INDEX('4s.bezr.pow.'!B3:G29,MATCH(10,B4:B30,0),3)</f>
        <v>8.1</v>
      </c>
      <c r="F13" s="24">
        <f>INDEX('4s.bezr.pow.'!B3:G29,MATCH(10,B4:B30,0),4)</f>
        <v>0</v>
      </c>
      <c r="G13" s="75">
        <f>INDEX('4s.bezr.pow.'!B3:G29,MATCH(10,B4:B30,0),5)</f>
        <v>8.5</v>
      </c>
      <c r="H13" s="24">
        <f>INDEX('4s.bezr.pow.'!B3:G29,MATCH(10,B4:B30,0),6)</f>
        <v>-0.40000000000000036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kolbuszowski</v>
      </c>
      <c r="D14" s="8">
        <f>INDEX('4s.bezr.pow.'!B3:G29,MATCH(11,B4:B30,0),2)</f>
        <v>8.1999999999999993</v>
      </c>
      <c r="E14" s="75">
        <f>INDEX('4s.bezr.pow.'!B3:G29,MATCH(11,B4:B30,0),3)</f>
        <v>8.1999999999999993</v>
      </c>
      <c r="F14" s="24">
        <f>INDEX('4s.bezr.pow.'!B3:G29,MATCH(11,B4:B30,0),4)</f>
        <v>0</v>
      </c>
      <c r="G14" s="75">
        <f>INDEX('4s.bezr.pow.'!B3:G29,MATCH(11,B4:B30,0),5)</f>
        <v>8.6999999999999993</v>
      </c>
      <c r="H14" s="24">
        <f>INDEX('4s.bezr.pow.'!B3:G29,MATCH(11,B4:B30,0),6)</f>
        <v>-0.5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16</v>
      </c>
      <c r="C15" s="37" t="str">
        <f>INDEX('4s.bezr.pow.'!B3:G29,MATCH(12,B4:B30,0),1)</f>
        <v>Powiat krośnieński</v>
      </c>
      <c r="D15" s="8">
        <f>INDEX('4s.bezr.pow.'!B3:G29,MATCH(12,B4:B30,0),2)</f>
        <v>8.1999999999999993</v>
      </c>
      <c r="E15" s="75">
        <f>INDEX('4s.bezr.pow.'!B3:G29,MATCH(12,B4:B30,0),3)</f>
        <v>8</v>
      </c>
      <c r="F15" s="24">
        <f>INDEX('4s.bezr.pow.'!B3:G29,MATCH(12,B4:B30,0),4)</f>
        <v>0.19999999999999929</v>
      </c>
      <c r="G15" s="75">
        <f>INDEX('4s.bezr.pow.'!B3:G29,MATCH(12,B4:B30,0),5)</f>
        <v>7.2</v>
      </c>
      <c r="H15" s="24">
        <f>INDEX('4s.bezr.pow.'!B3:G29,MATCH(12,B4:B30,0),6)</f>
        <v>0.99999999999999911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15</v>
      </c>
      <c r="C16" s="5" t="str">
        <f>INDEX('4s.bezr.pow.'!B3:G29,MATCH(13,B4:B30,0),1)</f>
        <v>PODKARPACKIE</v>
      </c>
      <c r="D16" s="8">
        <f>INDEX('4s.bezr.pow.'!B3:G29,MATCH(13,B4:B30,0),2)</f>
        <v>8.5</v>
      </c>
      <c r="E16" s="75">
        <f>INDEX('4s.bezr.pow.'!B3:G29,MATCH(13,B4:B30,0),3)</f>
        <v>8.4</v>
      </c>
      <c r="F16" s="24">
        <f>INDEX('4s.bezr.pow.'!B3:G29,MATCH(13,B4:B30,0),4)</f>
        <v>9.9999999999999645E-2</v>
      </c>
      <c r="G16" s="75">
        <f>INDEX('4s.bezr.pow.'!B3:G29,MATCH(13,B4:B30,0),5)</f>
        <v>8.8000000000000007</v>
      </c>
      <c r="H16" s="24">
        <f>INDEX('4s.bezr.pow.'!B3:G29,MATCH(13,B4:B30,0),6)</f>
        <v>-0.30000000000000071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6</v>
      </c>
      <c r="C17" s="5" t="str">
        <f>INDEX('4s.bezr.pow.'!B3:G29,MATCH(14,B4:B30,0),1)</f>
        <v>Powiat m.Przemyśl</v>
      </c>
      <c r="D17" s="8">
        <f>INDEX('4s.bezr.pow.'!B3:G29,MATCH(14,B4:B30,0),2)</f>
        <v>9</v>
      </c>
      <c r="E17" s="75">
        <f>INDEX('4s.bezr.pow.'!B3:G29,MATCH(14,B4:B30,0),3)</f>
        <v>9.1</v>
      </c>
      <c r="F17" s="24">
        <f>INDEX('4s.bezr.pow.'!B3:G29,MATCH(14,B4:B30,0),4)</f>
        <v>-9.9999999999999645E-2</v>
      </c>
      <c r="G17" s="75">
        <f>INDEX('4s.bezr.pow.'!B3:G29,MATCH(14,B4:B30,0),5)</f>
        <v>9.4</v>
      </c>
      <c r="H17" s="24">
        <f>INDEX('4s.bezr.pow.'!B3:G29,MATCH(14,B4:B30,0),6)</f>
        <v>-0.40000000000000036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25</v>
      </c>
      <c r="C18" s="5" t="str">
        <f>INDEX('4s.bezr.pow.'!B3:G29,MATCH(15,B4:B30,0),1)</f>
        <v>Powiat łańcucki</v>
      </c>
      <c r="D18" s="8">
        <f>INDEX('4s.bezr.pow.'!B3:G29,MATCH(15,B4:B30,0),2)</f>
        <v>9.6</v>
      </c>
      <c r="E18" s="75">
        <f>INDEX('4s.bezr.pow.'!B3:G29,MATCH(15,B4:B30,0),3)</f>
        <v>9.6</v>
      </c>
      <c r="F18" s="24">
        <f>INDEX('4s.bezr.pow.'!B3:G29,MATCH(15,B4:B30,0),4)</f>
        <v>0</v>
      </c>
      <c r="G18" s="75">
        <f>INDEX('4s.bezr.pow.'!B3:G29,MATCH(15,B4:B30,0),5)</f>
        <v>10.3</v>
      </c>
      <c r="H18" s="24">
        <f>INDEX('4s.bezr.pow.'!B3:G29,MATCH(15,B4:B30,0),6)</f>
        <v>-0.70000000000000107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lubaczowski</v>
      </c>
      <c r="D19" s="8">
        <f>INDEX('4s.bezr.pow.'!B3:G29,MATCH(16,B4:B30,0),2)</f>
        <v>10.4</v>
      </c>
      <c r="E19" s="75">
        <f>INDEX('4s.bezr.pow.'!B3:G29,MATCH(16,B4:B30,0),3)</f>
        <v>10</v>
      </c>
      <c r="F19" s="24">
        <f>INDEX('4s.bezr.pow.'!B3:G29,MATCH(16,B4:B30,0),4)</f>
        <v>0.40000000000000036</v>
      </c>
      <c r="G19" s="75">
        <f>INDEX('4s.bezr.pow.'!B3:G29,MATCH(16,B4:B30,0),5)</f>
        <v>10</v>
      </c>
      <c r="H19" s="24">
        <f>INDEX('4s.bezr.pow.'!B3:G29,MATCH(16,B4:B30,0),6)</f>
        <v>0.40000000000000036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jarosławski</v>
      </c>
      <c r="D20" s="8">
        <f>INDEX('4s.bezr.pow.'!B3:G29,MATCH(17,B4:B30,0),2)</f>
        <v>10.6</v>
      </c>
      <c r="E20" s="75">
        <f>INDEX('4s.bezr.pow.'!B3:G29,MATCH(17,B4:B30,0),3)</f>
        <v>10.6</v>
      </c>
      <c r="F20" s="24">
        <f>INDEX('4s.bezr.pow.'!B3:G29,MATCH(17,B4:B30,0),4)</f>
        <v>0</v>
      </c>
      <c r="G20" s="75">
        <f>INDEX('4s.bezr.pow.'!B3:G29,MATCH(17,B4:B30,0),5)</f>
        <v>11.5</v>
      </c>
      <c r="H20" s="24">
        <f>INDEX('4s.bezr.pow.'!B3:G29,MATCH(17,B4:B30,0),6)</f>
        <v>-0.90000000000000036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18</v>
      </c>
      <c r="C21" s="5" t="str">
        <f>INDEX('4s.bezr.pow.'!B3:G29,MATCH(18,B4:B30,0),1)</f>
        <v>Powiat ropczycko-sędziszowski</v>
      </c>
      <c r="D21" s="8">
        <f>INDEX('4s.bezr.pow.'!B3:G29,MATCH(18,B4:B30,0),2)</f>
        <v>10.8</v>
      </c>
      <c r="E21" s="75">
        <f>INDEX('4s.bezr.pow.'!B3:G29,MATCH(18,B4:B30,0),3)</f>
        <v>10.7</v>
      </c>
      <c r="F21" s="24">
        <f>INDEX('4s.bezr.pow.'!B3:G29,MATCH(18,B4:B30,0),4)</f>
        <v>0.10000000000000142</v>
      </c>
      <c r="G21" s="75">
        <f>INDEX('4s.bezr.pow.'!B3:G29,MATCH(18,B4:B30,0),5)</f>
        <v>12.1</v>
      </c>
      <c r="H21" s="24">
        <f>INDEX('4s.bezr.pow.'!B3:G29,MATCH(18,B4:B30,0),6)</f>
        <v>-1.2999999999999989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10</v>
      </c>
      <c r="C22" s="5" t="str">
        <f>INDEX('4s.bezr.pow.'!B3:G29,MATCH(19,B4:B30,0),1)</f>
        <v>Powiat jasielski</v>
      </c>
      <c r="D22" s="8">
        <f>INDEX('4s.bezr.pow.'!B3:G29,MATCH(19,B4:B30,0),2)</f>
        <v>12.5</v>
      </c>
      <c r="E22" s="75">
        <f>INDEX('4s.bezr.pow.'!B3:G29,MATCH(19,B4:B30,0),3)</f>
        <v>12.4</v>
      </c>
      <c r="F22" s="24">
        <f>INDEX('4s.bezr.pow.'!B3:G29,MATCH(19,B4:B30,0),4)</f>
        <v>9.9999999999999645E-2</v>
      </c>
      <c r="G22" s="75">
        <f>INDEX('4s.bezr.pow.'!B3:G29,MATCH(19,B4:B30,0),5)</f>
        <v>12.3</v>
      </c>
      <c r="H22" s="24">
        <f>INDEX('4s.bezr.pow.'!B3:G29,MATCH(19,B4:B30,0),6)</f>
        <v>0.19999999999999929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9</v>
      </c>
      <c r="C23" s="5" t="str">
        <f>INDEX('4s.bezr.pow.'!B3:G29,MATCH(20,B4:B30,0),1)</f>
        <v>Powiat przeworski</v>
      </c>
      <c r="D23" s="8">
        <f>INDEX('4s.bezr.pow.'!B3:G29,MATCH(20,B4:B30,0),2)</f>
        <v>13.8</v>
      </c>
      <c r="E23" s="75">
        <f>INDEX('4s.bezr.pow.'!B3:G29,MATCH(20,B4:B30,0),3)</f>
        <v>13.7</v>
      </c>
      <c r="F23" s="24">
        <f>INDEX('4s.bezr.pow.'!B3:G29,MATCH(20,B4:B30,0),4)</f>
        <v>0.10000000000000142</v>
      </c>
      <c r="G23" s="75">
        <f>INDEX('4s.bezr.pow.'!B3:G29,MATCH(20,B4:B30,0),5)</f>
        <v>14.7</v>
      </c>
      <c r="H23" s="24">
        <f>INDEX('4s.bezr.pow.'!B3:G29,MATCH(20,B4:B30,0),6)</f>
        <v>-0.89999999999999858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14.2</v>
      </c>
      <c r="E24" s="75">
        <f>INDEX('4s.bezr.pow.'!B3:G29,MATCH(21,B4:B30,0),3)</f>
        <v>14.3</v>
      </c>
      <c r="F24" s="24">
        <f>INDEX('4s.bezr.pow.'!B3:G29,MATCH(21,B4:B30,0),4)</f>
        <v>-0.10000000000000142</v>
      </c>
      <c r="G24" s="75">
        <f>INDEX('4s.bezr.pow.'!B3:G29,MATCH(21,B4:B30,0),5)</f>
        <v>15.5</v>
      </c>
      <c r="H24" s="24">
        <f>INDEX('4s.bezr.pow.'!B3:G29,MATCH(21,B4:B30,0),6)</f>
        <v>-1.3000000000000007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24</v>
      </c>
      <c r="C25" s="5" t="str">
        <f>INDEX('4s.bezr.pow.'!B3:G29,MATCH(22,B4:B30,0),1)</f>
        <v>Powiat bieszczadzki</v>
      </c>
      <c r="D25" s="8">
        <f>INDEX('4s.bezr.pow.'!B3:G29,MATCH(22,B4:B30,0),2)</f>
        <v>14.6</v>
      </c>
      <c r="E25" s="75">
        <f>INDEX('4s.bezr.pow.'!B3:G29,MATCH(22,B4:B30,0),3)</f>
        <v>14.9</v>
      </c>
      <c r="F25" s="24">
        <f>INDEX('4s.bezr.pow.'!B3:G29,MATCH(22,B4:B30,0),4)</f>
        <v>-0.30000000000000071</v>
      </c>
      <c r="G25" s="75">
        <f>INDEX('4s.bezr.pow.'!B3:G29,MATCH(22,B4:B30,0),5)</f>
        <v>15.4</v>
      </c>
      <c r="H25" s="24">
        <f>INDEX('4s.bezr.pow.'!B3:G29,MATCH(22,B4:B30,0),6)</f>
        <v>-0.80000000000000071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8</v>
      </c>
      <c r="C26" s="5" t="str">
        <f>INDEX('4s.bezr.pow.'!B3:G29,MATCH(23,B4:B30,0),1)</f>
        <v>Powiat przemyski</v>
      </c>
      <c r="D26" s="8">
        <f>INDEX('4s.bezr.pow.'!B3:G29,MATCH(23,B4:B30,0),2)</f>
        <v>16</v>
      </c>
      <c r="E26" s="75">
        <f>INDEX('4s.bezr.pow.'!B3:G29,MATCH(23,B4:B30,0),3)</f>
        <v>15.9</v>
      </c>
      <c r="F26" s="24">
        <f>INDEX('4s.bezr.pow.'!B3:G29,MATCH(23,B4:B30,0),4)</f>
        <v>9.9999999999999645E-2</v>
      </c>
      <c r="G26" s="75">
        <f>INDEX('4s.bezr.pow.'!B3:G29,MATCH(23,B4:B30,0),5)</f>
        <v>16.8</v>
      </c>
      <c r="H26" s="24">
        <f>INDEX('4s.bezr.pow.'!B3:G29,MATCH(23,B4:B30,0),6)</f>
        <v>-0.80000000000000071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strzyżowski</v>
      </c>
      <c r="D27" s="8">
        <f>INDEX('4s.bezr.pow.'!B3:G29,MATCH(24,B4:B30,0),2)</f>
        <v>16.899999999999999</v>
      </c>
      <c r="E27" s="75">
        <f>INDEX('4s.bezr.pow.'!B3:G29,MATCH(24,B4:B30,0),3)</f>
        <v>16.8</v>
      </c>
      <c r="F27" s="24">
        <f>INDEX('4s.bezr.pow.'!B3:G29,MATCH(24,B4:B30,0),4)</f>
        <v>9.9999999999997868E-2</v>
      </c>
      <c r="G27" s="75">
        <f>INDEX('4s.bezr.pow.'!B3:G29,MATCH(24,B4:B30,0),5)</f>
        <v>17.7</v>
      </c>
      <c r="H27" s="24">
        <f>INDEX('4s.bezr.pow.'!B3:G29,MATCH(24,B4:B30,0),6)</f>
        <v>-0.80000000000000071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14</v>
      </c>
      <c r="C28" s="5" t="str">
        <f>INDEX('4s.bezr.pow.'!B3:G29,MATCH(25,B4:B30,0),1)</f>
        <v>Powiat niżański</v>
      </c>
      <c r="D28" s="8">
        <f>INDEX('4s.bezr.pow.'!B3:G29,MATCH(25,B4:B30,0),2)</f>
        <v>17</v>
      </c>
      <c r="E28" s="75">
        <f>INDEX('4s.bezr.pow.'!B3:G29,MATCH(25,B4:B30,0),3)</f>
        <v>17.100000000000001</v>
      </c>
      <c r="F28" s="24">
        <f>INDEX('4s.bezr.pow.'!B3:G29,MATCH(25,B4:B30,0),4)</f>
        <v>-0.10000000000000142</v>
      </c>
      <c r="G28" s="75">
        <f>INDEX('4s.bezr.pow.'!B3:G29,MATCH(25,B4:B30,0),5)</f>
        <v>17.399999999999999</v>
      </c>
      <c r="H28" s="24">
        <f>INDEX('4s.bezr.pow.'!B3:G29,MATCH(25,B4:B30,0),6)</f>
        <v>-0.39999999999999858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17.600000000000001</v>
      </c>
      <c r="E29" s="71">
        <f>INDEX('4s.bezr.pow.'!B3:G29,MATCH(26,B4:B30,0),3)</f>
        <v>17.3</v>
      </c>
      <c r="F29" s="38">
        <f>INDEX('4s.bezr.pow.'!B3:G29,MATCH(26,B4:B30,0),4)</f>
        <v>0.30000000000000071</v>
      </c>
      <c r="G29" s="71">
        <f>INDEX('4s.bezr.pow.'!B3:G29,MATCH(26,B4:B30,0),5)</f>
        <v>17.8</v>
      </c>
      <c r="H29" s="38">
        <f>INDEX('4s.bezr.pow.'!B3:G29,MATCH(26,B4:B30,0),6)</f>
        <v>-0.19999999999999929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19.600000000000001</v>
      </c>
      <c r="E30" s="75">
        <f>INDEX('4s.bezr.pow.'!B3:G29,MATCH(27,B4:B30,0),3)</f>
        <v>19.3</v>
      </c>
      <c r="F30" s="8">
        <f>INDEX('4s.bezr.pow.'!B3:G29,MATCH(27,B4:B30,0),4)</f>
        <v>0.30000000000000071</v>
      </c>
      <c r="G30" s="75">
        <f>INDEX('4s.bezr.pow.'!B3:G29,MATCH(27,B4:B30,0),5)</f>
        <v>20.7</v>
      </c>
      <c r="H30" s="8">
        <f>INDEX('4s.bezr.pow.'!B3:G29,MATCH(27,B4:B30,0),6)</f>
        <v>-1.0999999999999979</v>
      </c>
    </row>
    <row r="31" spans="1:8" x14ac:dyDescent="0.2">
      <c r="C31" s="52" t="s">
        <v>102</v>
      </c>
    </row>
    <row r="32" spans="1:8" x14ac:dyDescent="0.2">
      <c r="C32" s="52"/>
    </row>
  </sheetData>
  <pageMargins left="0" right="0" top="0.31496062992125984" bottom="0" header="0" footer="0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28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3" style="3" customWidth="1"/>
    <col min="9" max="9" width="24.5703125" style="3" customWidth="1"/>
    <col min="10" max="10" width="16" style="3" customWidth="1"/>
    <col min="11" max="11" width="17.42578125" style="3" customWidth="1"/>
    <col min="12" max="12" width="14.42578125" style="3" customWidth="1"/>
    <col min="13" max="14" width="3" style="3" customWidth="1"/>
    <col min="15" max="16384" width="9.140625" style="3"/>
  </cols>
  <sheetData>
    <row r="1" spans="1:12" x14ac:dyDescent="0.2">
      <c r="B1" s="2" t="s">
        <v>31</v>
      </c>
      <c r="I1" s="3" t="s">
        <v>86</v>
      </c>
    </row>
    <row r="2" spans="1:12" ht="86.25" customHeight="1" x14ac:dyDescent="0.2">
      <c r="B2" s="55" t="s">
        <v>27</v>
      </c>
      <c r="C2" s="56" t="s">
        <v>136</v>
      </c>
      <c r="D2" s="57" t="s">
        <v>118</v>
      </c>
      <c r="E2" s="56" t="s">
        <v>28</v>
      </c>
      <c r="F2" s="57" t="s">
        <v>137</v>
      </c>
      <c r="G2" s="56" t="s">
        <v>26</v>
      </c>
      <c r="I2" s="55" t="s">
        <v>27</v>
      </c>
      <c r="J2" s="56" t="str">
        <f>T('1bezr.'!C2)</f>
        <v>liczba bezrobotnych ogółem stan na 31 VIII '23 r.</v>
      </c>
      <c r="K2" s="56" t="str">
        <f>T(C2)</f>
        <v>liczba bezrobotnych zam. na wsi stan na 31 VIII '23 r.</v>
      </c>
      <c r="L2" s="56" t="s">
        <v>95</v>
      </c>
    </row>
    <row r="3" spans="1:12" x14ac:dyDescent="0.2">
      <c r="A3" s="3">
        <v>1</v>
      </c>
      <c r="B3" s="5" t="s">
        <v>0</v>
      </c>
      <c r="C3" s="13">
        <v>605</v>
      </c>
      <c r="D3" s="61">
        <v>627</v>
      </c>
      <c r="E3" s="6">
        <f t="shared" ref="E3:E23" si="0">SUM(C3)-D3</f>
        <v>-22</v>
      </c>
      <c r="F3" s="61">
        <v>653</v>
      </c>
      <c r="G3" s="6">
        <f t="shared" ref="G3:G23" si="1">SUM(C3)-F3</f>
        <v>-48</v>
      </c>
      <c r="H3" s="7"/>
      <c r="I3" s="5" t="s">
        <v>0</v>
      </c>
      <c r="J3" s="6">
        <f>SUM('1bezr.'!C3)</f>
        <v>973</v>
      </c>
      <c r="K3" s="6">
        <f>SUM(C3)</f>
        <v>605</v>
      </c>
      <c r="L3" s="8">
        <f t="shared" ref="L3:L23" si="2">SUM(K3)/J3*100</f>
        <v>62.178828365878722</v>
      </c>
    </row>
    <row r="4" spans="1:12" x14ac:dyDescent="0.2">
      <c r="A4" s="3">
        <v>2</v>
      </c>
      <c r="B4" s="5" t="s">
        <v>1</v>
      </c>
      <c r="C4" s="14">
        <v>3353</v>
      </c>
      <c r="D4" s="61">
        <v>3304</v>
      </c>
      <c r="E4" s="6">
        <f t="shared" si="0"/>
        <v>49</v>
      </c>
      <c r="F4" s="61">
        <v>3622</v>
      </c>
      <c r="G4" s="6">
        <f t="shared" si="1"/>
        <v>-269</v>
      </c>
      <c r="H4" s="7"/>
      <c r="I4" s="5" t="s">
        <v>1</v>
      </c>
      <c r="J4" s="6">
        <f>SUM('1bezr.'!C4)</f>
        <v>3667</v>
      </c>
      <c r="K4" s="6">
        <f t="shared" ref="K4:K22" si="3">SUM(C4)</f>
        <v>3353</v>
      </c>
      <c r="L4" s="8">
        <f t="shared" si="2"/>
        <v>91.437142077992903</v>
      </c>
    </row>
    <row r="5" spans="1:12" x14ac:dyDescent="0.2">
      <c r="A5" s="3">
        <v>3</v>
      </c>
      <c r="B5" s="5" t="s">
        <v>2</v>
      </c>
      <c r="C5" s="15">
        <v>1412</v>
      </c>
      <c r="D5" s="61">
        <v>1386</v>
      </c>
      <c r="E5" s="6">
        <f t="shared" si="0"/>
        <v>26</v>
      </c>
      <c r="F5" s="61">
        <v>1427</v>
      </c>
      <c r="G5" s="6">
        <f t="shared" si="1"/>
        <v>-15</v>
      </c>
      <c r="H5" s="7"/>
      <c r="I5" s="5" t="s">
        <v>2</v>
      </c>
      <c r="J5" s="6">
        <f>SUM('1bezr.'!C5)</f>
        <v>2398</v>
      </c>
      <c r="K5" s="6">
        <f t="shared" si="3"/>
        <v>1412</v>
      </c>
      <c r="L5" s="8">
        <f t="shared" si="2"/>
        <v>58.882402001668055</v>
      </c>
    </row>
    <row r="6" spans="1:12" x14ac:dyDescent="0.2">
      <c r="A6" s="3">
        <v>4</v>
      </c>
      <c r="B6" s="5" t="s">
        <v>3</v>
      </c>
      <c r="C6" s="15">
        <v>2594</v>
      </c>
      <c r="D6" s="61">
        <v>2601</v>
      </c>
      <c r="E6" s="6">
        <f t="shared" si="0"/>
        <v>-7</v>
      </c>
      <c r="F6" s="61">
        <v>2860</v>
      </c>
      <c r="G6" s="6">
        <f t="shared" si="1"/>
        <v>-266</v>
      </c>
      <c r="H6" s="7"/>
      <c r="I6" s="5" t="s">
        <v>3</v>
      </c>
      <c r="J6" s="6">
        <f>SUM('1bezr.'!C6)</f>
        <v>4215</v>
      </c>
      <c r="K6" s="6">
        <f t="shared" si="3"/>
        <v>2594</v>
      </c>
      <c r="L6" s="8">
        <f t="shared" si="2"/>
        <v>61.542111506524321</v>
      </c>
    </row>
    <row r="7" spans="1:12" x14ac:dyDescent="0.2">
      <c r="A7" s="3">
        <v>5</v>
      </c>
      <c r="B7" s="5" t="s">
        <v>4</v>
      </c>
      <c r="C7" s="15">
        <v>3364</v>
      </c>
      <c r="D7" s="61">
        <v>3321</v>
      </c>
      <c r="E7" s="6">
        <f t="shared" si="0"/>
        <v>43</v>
      </c>
      <c r="F7" s="61">
        <v>3279</v>
      </c>
      <c r="G7" s="6">
        <f t="shared" si="1"/>
        <v>85</v>
      </c>
      <c r="H7" s="7"/>
      <c r="I7" s="5" t="s">
        <v>4</v>
      </c>
      <c r="J7" s="6">
        <f>SUM('1bezr.'!C7)</f>
        <v>4772</v>
      </c>
      <c r="K7" s="6">
        <f t="shared" si="3"/>
        <v>3364</v>
      </c>
      <c r="L7" s="8">
        <f t="shared" si="2"/>
        <v>70.494551550712487</v>
      </c>
    </row>
    <row r="8" spans="1:12" x14ac:dyDescent="0.2">
      <c r="A8" s="3">
        <v>6</v>
      </c>
      <c r="B8" s="5" t="s">
        <v>5</v>
      </c>
      <c r="C8" s="15">
        <v>1330</v>
      </c>
      <c r="D8" s="61">
        <v>1340</v>
      </c>
      <c r="E8" s="6">
        <f t="shared" si="0"/>
        <v>-10</v>
      </c>
      <c r="F8" s="61">
        <v>1412</v>
      </c>
      <c r="G8" s="6">
        <f t="shared" si="1"/>
        <v>-82</v>
      </c>
      <c r="H8" s="7"/>
      <c r="I8" s="5" t="s">
        <v>5</v>
      </c>
      <c r="J8" s="6">
        <f>SUM('1bezr.'!C8)</f>
        <v>1511</v>
      </c>
      <c r="K8" s="6">
        <f t="shared" si="3"/>
        <v>1330</v>
      </c>
      <c r="L8" s="8">
        <f t="shared" si="2"/>
        <v>88.021178027796168</v>
      </c>
    </row>
    <row r="9" spans="1:12" x14ac:dyDescent="0.2">
      <c r="A9" s="3">
        <v>7</v>
      </c>
      <c r="B9" s="9" t="s">
        <v>6</v>
      </c>
      <c r="C9" s="16">
        <v>1900</v>
      </c>
      <c r="D9" s="61">
        <v>1890</v>
      </c>
      <c r="E9" s="6">
        <f t="shared" si="0"/>
        <v>10</v>
      </c>
      <c r="F9" s="61">
        <v>1681</v>
      </c>
      <c r="G9" s="6">
        <f t="shared" si="1"/>
        <v>219</v>
      </c>
      <c r="H9" s="7"/>
      <c r="I9" s="9" t="s">
        <v>6</v>
      </c>
      <c r="J9" s="6">
        <f>SUM('1bezr.'!C9)</f>
        <v>2126</v>
      </c>
      <c r="K9" s="6">
        <f t="shared" si="3"/>
        <v>1900</v>
      </c>
      <c r="L9" s="8">
        <f t="shared" si="2"/>
        <v>89.369708372530582</v>
      </c>
    </row>
    <row r="10" spans="1:12" x14ac:dyDescent="0.2">
      <c r="A10" s="3">
        <v>8</v>
      </c>
      <c r="B10" s="5" t="s">
        <v>7</v>
      </c>
      <c r="C10" s="17">
        <v>1255</v>
      </c>
      <c r="D10" s="61">
        <v>1228</v>
      </c>
      <c r="E10" s="6">
        <f t="shared" si="0"/>
        <v>27</v>
      </c>
      <c r="F10" s="61">
        <v>1247</v>
      </c>
      <c r="G10" s="6">
        <f>SUM(C10)-F10</f>
        <v>8</v>
      </c>
      <c r="H10" s="7"/>
      <c r="I10" s="5" t="s">
        <v>7</v>
      </c>
      <c r="J10" s="6">
        <f>SUM('1bezr.'!C10)</f>
        <v>1541</v>
      </c>
      <c r="K10" s="6">
        <f>SUM(C10)</f>
        <v>1255</v>
      </c>
      <c r="L10" s="8">
        <f t="shared" si="2"/>
        <v>81.440622972096037</v>
      </c>
    </row>
    <row r="11" spans="1:12" x14ac:dyDescent="0.2">
      <c r="A11" s="3">
        <v>9</v>
      </c>
      <c r="B11" s="5" t="s">
        <v>8</v>
      </c>
      <c r="C11" s="17">
        <v>2194</v>
      </c>
      <c r="D11" s="61">
        <v>2229</v>
      </c>
      <c r="E11" s="6">
        <f t="shared" si="0"/>
        <v>-35</v>
      </c>
      <c r="F11" s="61">
        <v>2434</v>
      </c>
      <c r="G11" s="6">
        <f t="shared" si="1"/>
        <v>-240</v>
      </c>
      <c r="H11" s="7"/>
      <c r="I11" s="5" t="s">
        <v>8</v>
      </c>
      <c r="J11" s="6">
        <f>SUM('1bezr.'!C11)</f>
        <v>2897</v>
      </c>
      <c r="K11" s="6">
        <f t="shared" si="3"/>
        <v>2194</v>
      </c>
      <c r="L11" s="8">
        <f t="shared" si="2"/>
        <v>75.73351743182603</v>
      </c>
    </row>
    <row r="12" spans="1:12" x14ac:dyDescent="0.2">
      <c r="A12" s="3">
        <v>10</v>
      </c>
      <c r="B12" s="5" t="s">
        <v>9</v>
      </c>
      <c r="C12" s="17">
        <v>1120</v>
      </c>
      <c r="D12" s="61">
        <v>1062</v>
      </c>
      <c r="E12" s="6">
        <f t="shared" si="0"/>
        <v>58</v>
      </c>
      <c r="F12" s="61">
        <v>1056</v>
      </c>
      <c r="G12" s="6">
        <f t="shared" si="1"/>
        <v>64</v>
      </c>
      <c r="H12" s="7"/>
      <c r="I12" s="5" t="s">
        <v>9</v>
      </c>
      <c r="J12" s="6">
        <f>SUM('1bezr.'!C12)</f>
        <v>1692</v>
      </c>
      <c r="K12" s="6">
        <f t="shared" si="3"/>
        <v>1120</v>
      </c>
      <c r="L12" s="8">
        <f t="shared" si="2"/>
        <v>66.193853427895974</v>
      </c>
    </row>
    <row r="13" spans="1:12" x14ac:dyDescent="0.2">
      <c r="A13" s="3">
        <v>11</v>
      </c>
      <c r="B13" s="5" t="s">
        <v>10</v>
      </c>
      <c r="C13" s="17">
        <v>2000</v>
      </c>
      <c r="D13" s="61">
        <v>1993</v>
      </c>
      <c r="E13" s="6">
        <f t="shared" si="0"/>
        <v>7</v>
      </c>
      <c r="F13" s="61">
        <v>2132</v>
      </c>
      <c r="G13" s="6">
        <f t="shared" si="1"/>
        <v>-132</v>
      </c>
      <c r="H13" s="7"/>
      <c r="I13" s="5" t="s">
        <v>10</v>
      </c>
      <c r="J13" s="6">
        <f>SUM('1bezr.'!C13)</f>
        <v>2520</v>
      </c>
      <c r="K13" s="6">
        <f t="shared" si="3"/>
        <v>2000</v>
      </c>
      <c r="L13" s="8">
        <f t="shared" si="2"/>
        <v>79.365079365079367</v>
      </c>
    </row>
    <row r="14" spans="1:12" x14ac:dyDescent="0.2">
      <c r="A14" s="3">
        <v>12</v>
      </c>
      <c r="B14" s="5" t="s">
        <v>11</v>
      </c>
      <c r="C14" s="17">
        <v>1453</v>
      </c>
      <c r="D14" s="61">
        <v>1403</v>
      </c>
      <c r="E14" s="6">
        <f t="shared" si="0"/>
        <v>50</v>
      </c>
      <c r="F14" s="61">
        <v>1278</v>
      </c>
      <c r="G14" s="6">
        <f t="shared" si="1"/>
        <v>175</v>
      </c>
      <c r="H14" s="7"/>
      <c r="I14" s="5" t="s">
        <v>11</v>
      </c>
      <c r="J14" s="6">
        <f>SUM('1bezr.'!C14)</f>
        <v>2918</v>
      </c>
      <c r="K14" s="6">
        <f t="shared" si="3"/>
        <v>1453</v>
      </c>
      <c r="L14" s="8">
        <f t="shared" si="2"/>
        <v>49.794379712131601</v>
      </c>
    </row>
    <row r="15" spans="1:12" x14ac:dyDescent="0.2">
      <c r="A15" s="3">
        <v>13</v>
      </c>
      <c r="B15" s="5" t="s">
        <v>12</v>
      </c>
      <c r="C15" s="17">
        <v>1946</v>
      </c>
      <c r="D15" s="61">
        <v>1978</v>
      </c>
      <c r="E15" s="6">
        <f t="shared" si="0"/>
        <v>-32</v>
      </c>
      <c r="F15" s="61">
        <v>1990</v>
      </c>
      <c r="G15" s="6">
        <f t="shared" si="1"/>
        <v>-44</v>
      </c>
      <c r="H15" s="7"/>
      <c r="I15" s="5" t="s">
        <v>12</v>
      </c>
      <c r="J15" s="6">
        <f>SUM('1bezr.'!C15)</f>
        <v>3011</v>
      </c>
      <c r="K15" s="6">
        <f t="shared" si="3"/>
        <v>1946</v>
      </c>
      <c r="L15" s="8">
        <f t="shared" si="2"/>
        <v>64.629691132514111</v>
      </c>
    </row>
    <row r="16" spans="1:12" x14ac:dyDescent="0.2">
      <c r="A16" s="3">
        <v>14</v>
      </c>
      <c r="B16" s="5" t="s">
        <v>13</v>
      </c>
      <c r="C16" s="17">
        <v>2735</v>
      </c>
      <c r="D16" s="61">
        <v>2719</v>
      </c>
      <c r="E16" s="6">
        <f t="shared" si="0"/>
        <v>16</v>
      </c>
      <c r="F16" s="61">
        <v>2901</v>
      </c>
      <c r="G16" s="6">
        <f t="shared" si="1"/>
        <v>-166</v>
      </c>
      <c r="H16" s="7"/>
      <c r="I16" s="5" t="s">
        <v>13</v>
      </c>
      <c r="J16" s="6">
        <f>SUM('1bezr.'!C16)</f>
        <v>2757</v>
      </c>
      <c r="K16" s="6">
        <f t="shared" si="3"/>
        <v>2735</v>
      </c>
      <c r="L16" s="8">
        <f t="shared" si="2"/>
        <v>99.202031193326079</v>
      </c>
    </row>
    <row r="17" spans="1:13" x14ac:dyDescent="0.2">
      <c r="A17" s="3">
        <v>15</v>
      </c>
      <c r="B17" s="5" t="s">
        <v>14</v>
      </c>
      <c r="C17" s="17">
        <v>2509</v>
      </c>
      <c r="D17" s="61">
        <v>2491</v>
      </c>
      <c r="E17" s="6">
        <f t="shared" si="0"/>
        <v>18</v>
      </c>
      <c r="F17" s="61">
        <v>2686</v>
      </c>
      <c r="G17" s="6">
        <f t="shared" si="1"/>
        <v>-177</v>
      </c>
      <c r="H17" s="7"/>
      <c r="I17" s="5" t="s">
        <v>14</v>
      </c>
      <c r="J17" s="6">
        <f>SUM('1bezr.'!C17)</f>
        <v>3300</v>
      </c>
      <c r="K17" s="6">
        <f t="shared" si="3"/>
        <v>2509</v>
      </c>
      <c r="L17" s="8">
        <f t="shared" si="2"/>
        <v>76.030303030303031</v>
      </c>
      <c r="M17" s="10"/>
    </row>
    <row r="18" spans="1:13" x14ac:dyDescent="0.2">
      <c r="A18" s="3">
        <v>16</v>
      </c>
      <c r="B18" s="5" t="s">
        <v>15</v>
      </c>
      <c r="C18" s="17">
        <v>1692</v>
      </c>
      <c r="D18" s="61">
        <v>1665</v>
      </c>
      <c r="E18" s="6">
        <f t="shared" si="0"/>
        <v>27</v>
      </c>
      <c r="F18" s="61">
        <v>1929</v>
      </c>
      <c r="G18" s="6">
        <f t="shared" si="1"/>
        <v>-237</v>
      </c>
      <c r="H18" s="7"/>
      <c r="I18" s="5" t="s">
        <v>15</v>
      </c>
      <c r="J18" s="6">
        <f>SUM('1bezr.'!C18)</f>
        <v>2594</v>
      </c>
      <c r="K18" s="6">
        <f t="shared" si="3"/>
        <v>1692</v>
      </c>
      <c r="L18" s="8">
        <f t="shared" si="2"/>
        <v>65.22744795682344</v>
      </c>
    </row>
    <row r="19" spans="1:13" x14ac:dyDescent="0.2">
      <c r="A19" s="3">
        <v>17</v>
      </c>
      <c r="B19" s="5" t="s">
        <v>16</v>
      </c>
      <c r="C19" s="17">
        <v>3630</v>
      </c>
      <c r="D19" s="61">
        <v>3639</v>
      </c>
      <c r="E19" s="6">
        <f t="shared" si="0"/>
        <v>-9</v>
      </c>
      <c r="F19" s="61">
        <v>3909</v>
      </c>
      <c r="G19" s="6">
        <f t="shared" si="1"/>
        <v>-279</v>
      </c>
      <c r="H19" s="7"/>
      <c r="I19" s="5" t="s">
        <v>16</v>
      </c>
      <c r="J19" s="6">
        <f>SUM('1bezr.'!C19)</f>
        <v>4625</v>
      </c>
      <c r="K19" s="6">
        <f t="shared" si="3"/>
        <v>3630</v>
      </c>
      <c r="L19" s="8">
        <f t="shared" si="2"/>
        <v>78.486486486486484</v>
      </c>
    </row>
    <row r="20" spans="1:13" x14ac:dyDescent="0.2">
      <c r="A20" s="3">
        <v>18</v>
      </c>
      <c r="B20" s="5" t="s">
        <v>17</v>
      </c>
      <c r="C20" s="17">
        <v>1545</v>
      </c>
      <c r="D20" s="61">
        <v>1524</v>
      </c>
      <c r="E20" s="6">
        <f t="shared" si="0"/>
        <v>21</v>
      </c>
      <c r="F20" s="61">
        <v>1418</v>
      </c>
      <c r="G20" s="6">
        <f t="shared" si="1"/>
        <v>127</v>
      </c>
      <c r="H20" s="7"/>
      <c r="I20" s="5" t="s">
        <v>17</v>
      </c>
      <c r="J20" s="6">
        <f>SUM('1bezr.'!C20)</f>
        <v>2664</v>
      </c>
      <c r="K20" s="6">
        <f t="shared" si="3"/>
        <v>1545</v>
      </c>
      <c r="L20" s="8">
        <f t="shared" si="2"/>
        <v>57.995495495495497</v>
      </c>
    </row>
    <row r="21" spans="1:13" x14ac:dyDescent="0.2">
      <c r="A21" s="3">
        <v>19</v>
      </c>
      <c r="B21" s="5" t="s">
        <v>18</v>
      </c>
      <c r="C21" s="17">
        <v>740</v>
      </c>
      <c r="D21" s="61">
        <v>746</v>
      </c>
      <c r="E21" s="6">
        <f t="shared" si="0"/>
        <v>-6</v>
      </c>
      <c r="F21" s="61">
        <v>809</v>
      </c>
      <c r="G21" s="6">
        <f t="shared" si="1"/>
        <v>-69</v>
      </c>
      <c r="H21" s="7"/>
      <c r="I21" s="5" t="s">
        <v>18</v>
      </c>
      <c r="J21" s="6">
        <f>SUM('1bezr.'!C21)</f>
        <v>1923</v>
      </c>
      <c r="K21" s="6">
        <f t="shared" si="3"/>
        <v>740</v>
      </c>
      <c r="L21" s="8">
        <f t="shared" si="2"/>
        <v>38.481539261570461</v>
      </c>
    </row>
    <row r="22" spans="1:13" x14ac:dyDescent="0.2">
      <c r="A22" s="3">
        <v>20</v>
      </c>
      <c r="B22" s="5" t="s">
        <v>19</v>
      </c>
      <c r="C22" s="17">
        <v>2725</v>
      </c>
      <c r="D22" s="61">
        <v>2708</v>
      </c>
      <c r="E22" s="6">
        <f t="shared" si="0"/>
        <v>17</v>
      </c>
      <c r="F22" s="61">
        <v>2862</v>
      </c>
      <c r="G22" s="6">
        <f t="shared" si="1"/>
        <v>-137</v>
      </c>
      <c r="H22" s="7"/>
      <c r="I22" s="5" t="s">
        <v>19</v>
      </c>
      <c r="J22" s="6">
        <f>SUM('1bezr.'!C22)</f>
        <v>3030</v>
      </c>
      <c r="K22" s="6">
        <f t="shared" si="3"/>
        <v>2725</v>
      </c>
      <c r="L22" s="8">
        <f t="shared" si="2"/>
        <v>89.933993399339926</v>
      </c>
    </row>
    <row r="23" spans="1:13" x14ac:dyDescent="0.2">
      <c r="A23" s="3">
        <v>21</v>
      </c>
      <c r="B23" s="5" t="s">
        <v>20</v>
      </c>
      <c r="C23" s="17">
        <v>1024</v>
      </c>
      <c r="D23" s="61">
        <v>993</v>
      </c>
      <c r="E23" s="6">
        <f t="shared" si="0"/>
        <v>31</v>
      </c>
      <c r="F23" s="61">
        <v>1059</v>
      </c>
      <c r="G23" s="6">
        <f t="shared" si="1"/>
        <v>-35</v>
      </c>
      <c r="H23" s="7"/>
      <c r="I23" s="5" t="s">
        <v>20</v>
      </c>
      <c r="J23" s="6">
        <f>SUM('1bezr.'!C23)</f>
        <v>1268</v>
      </c>
      <c r="K23" s="6">
        <f>SUM(C23)</f>
        <v>1024</v>
      </c>
      <c r="L23" s="8">
        <f t="shared" si="2"/>
        <v>80.757097791798103</v>
      </c>
    </row>
    <row r="24" spans="1:13" ht="15" x14ac:dyDescent="0.25">
      <c r="A24" s="3">
        <v>22</v>
      </c>
      <c r="B24" s="58" t="s">
        <v>25</v>
      </c>
      <c r="C24" s="59">
        <f>SUM(C3:C23)</f>
        <v>41126</v>
      </c>
      <c r="D24" s="63">
        <f>SUM(D3:D23)</f>
        <v>40847</v>
      </c>
      <c r="E24" s="59">
        <f>SUM(E3:E23)</f>
        <v>279</v>
      </c>
      <c r="F24" s="63">
        <f>SUM(F3:F23)</f>
        <v>42644</v>
      </c>
      <c r="G24" s="59">
        <f>SUM(G3:G23)</f>
        <v>-1518</v>
      </c>
      <c r="H24" s="7"/>
      <c r="I24" s="5" t="s">
        <v>21</v>
      </c>
      <c r="J24" s="6">
        <f>SUM('1bezr.'!C24)</f>
        <v>781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2343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5257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1078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65861</v>
      </c>
      <c r="K28" s="59">
        <f>SUM(K3:K23)</f>
        <v>41126</v>
      </c>
      <c r="L28" s="74">
        <f>SUM(K28)/J28*100</f>
        <v>62.443631284067955</v>
      </c>
    </row>
  </sheetData>
  <printOptions horizontalCentered="1" verticalCentered="1"/>
  <pageMargins left="0" right="0" top="0" bottom="0" header="0" footer="0"/>
  <pageSetup paperSize="9"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88</v>
      </c>
      <c r="C3" s="55" t="str">
        <f>T('2kob.'!B2)</f>
        <v>powiaty</v>
      </c>
      <c r="D3" s="55" t="str">
        <f>T('2kob.'!C2)</f>
        <v>liczba bezrobotnych kobiet stan na 31 VIII '23 r.</v>
      </c>
      <c r="E3" s="55" t="str">
        <f>T('2kob.'!D2)</f>
        <v>liczba bezrobotnych kobiet stan na 31 VII '23 r.</v>
      </c>
      <c r="F3" s="55" t="str">
        <f>T('2kob.'!E2)</f>
        <v>wzrost/spadek do poprzedniego  miesiąca</v>
      </c>
      <c r="G3" s="55" t="str">
        <f>T('2kob.'!F2)</f>
        <v>liczba bezrobotnych kobiet stan na 31 VIII '22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605</v>
      </c>
      <c r="E4" s="61">
        <f>INDEX('5bezr. na wsi'!B3:G28,MATCH(1,B4:B25,0),3)</f>
        <v>627</v>
      </c>
      <c r="F4" s="6">
        <f>INDEX('5bezr. na wsi'!B3:G28,MATCH(1,B4:B25,0),4)</f>
        <v>-22</v>
      </c>
      <c r="G4" s="61">
        <f>INDEX('5bezr. na wsi'!B3:G28,MATCH(1,B4:B25,0),5)</f>
        <v>653</v>
      </c>
      <c r="H4" s="6">
        <f>INDEX('5bezr. na wsi'!B3:G28,MATCH(1,B4:B25,0),6)</f>
        <v>-48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740</v>
      </c>
      <c r="E5" s="61">
        <f>INDEX('5bezr. na wsi'!B3:G28,MATCH(2,B4:B25,0),3)</f>
        <v>746</v>
      </c>
      <c r="F5" s="6">
        <f>INDEX('5bezr. na wsi'!B3:G28,MATCH(2,B4:B25,0),4)</f>
        <v>-6</v>
      </c>
      <c r="G5" s="61">
        <f>INDEX('5bezr. na wsi'!B3:G28,MATCH(2,B4:B25,0),5)</f>
        <v>809</v>
      </c>
      <c r="H5" s="6">
        <f>INDEX('5bezr. na wsi'!B3:G28,MATCH(2,B4:B25,0),6)</f>
        <v>-69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7</v>
      </c>
      <c r="C6" s="5" t="str">
        <f>INDEX('5bezr. na wsi'!B3:G28,MATCH(3,B4:B25,0),1)</f>
        <v xml:space="preserve">tarnobrzeski </v>
      </c>
      <c r="D6" s="6">
        <f>INDEX('5bezr. na wsi'!B3:G28,MATCH(3,B4:B25,0),2)</f>
        <v>1024</v>
      </c>
      <c r="E6" s="61">
        <f>INDEX('5bezr. na wsi'!B3:G28,MATCH(3,B4:B25,0),3)</f>
        <v>993</v>
      </c>
      <c r="F6" s="6">
        <f>INDEX('5bezr. na wsi'!B3:G28,MATCH(3,B4:B25,0),4)</f>
        <v>31</v>
      </c>
      <c r="G6" s="61">
        <f>INDEX('5bezr. na wsi'!B3:G28,MATCH(3,B4:B25,0),5)</f>
        <v>1059</v>
      </c>
      <c r="H6" s="6">
        <f>INDEX('5bezr. na wsi'!B3:G28,MATCH(3,B4:B25,0),6)</f>
        <v>-35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1120</v>
      </c>
      <c r="E7" s="61">
        <f>INDEX('5bezr. na wsi'!B3:G28,MATCH(4,B4:B25,0),3)</f>
        <v>1062</v>
      </c>
      <c r="F7" s="6">
        <f>INDEX('5bezr. na wsi'!B3:G28,MATCH(4,B4:B25,0),4)</f>
        <v>58</v>
      </c>
      <c r="G7" s="61">
        <f>INDEX('5bezr. na wsi'!B3:G28,MATCH(4,B4:B25,0),5)</f>
        <v>1056</v>
      </c>
      <c r="H7" s="6">
        <f>INDEX('5bezr. na wsi'!B3:G28,MATCH(4,B4:B25,0),6)</f>
        <v>64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20</v>
      </c>
      <c r="C8" s="5" t="str">
        <f>INDEX('5bezr. na wsi'!B3:G28,MATCH(5,B4:B25,0),1)</f>
        <v>leski</v>
      </c>
      <c r="D8" s="6">
        <f>INDEX('5bezr. na wsi'!B3:G28,MATCH(5,B4:B25,0),2)</f>
        <v>1255</v>
      </c>
      <c r="E8" s="61">
        <f>INDEX('5bezr. na wsi'!B3:G28,MATCH(5,B4:B25,0),3)</f>
        <v>1228</v>
      </c>
      <c r="F8" s="6">
        <f>INDEX('5bezr. na wsi'!B3:G28,MATCH(5,B4:B25,0),4)</f>
        <v>27</v>
      </c>
      <c r="G8" s="61">
        <f>INDEX('5bezr. na wsi'!B3:G28,MATCH(5,B4:B25,0),5)</f>
        <v>1247</v>
      </c>
      <c r="H8" s="6">
        <f>INDEX('5bezr. na wsi'!B3:G28,MATCH(5,B4:B25,0),6)</f>
        <v>8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6</v>
      </c>
      <c r="C9" s="5" t="str">
        <f>INDEX('5bezr. na wsi'!B3:G28,MATCH(6,B4:B25,0),1)</f>
        <v>kolbuszowski</v>
      </c>
      <c r="D9" s="6">
        <f>INDEX('5bezr. na wsi'!B3:G28,MATCH(6,B4:B25,0),2)</f>
        <v>1330</v>
      </c>
      <c r="E9" s="61">
        <f>INDEX('5bezr. na wsi'!B3:G28,MATCH(6,B4:B25,0),3)</f>
        <v>1340</v>
      </c>
      <c r="F9" s="6">
        <f>INDEX('5bezr. na wsi'!B3:G28,MATCH(6,B4:B25,0),4)</f>
        <v>-10</v>
      </c>
      <c r="G9" s="61">
        <f>INDEX('5bezr. na wsi'!B3:G28,MATCH(6,B4:B25,0),5)</f>
        <v>1412</v>
      </c>
      <c r="H9" s="6">
        <f>INDEX('5bezr. na wsi'!B3:G28,MATCH(6,B4:B25,0),6)</f>
        <v>-82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11</v>
      </c>
      <c r="C10" s="9" t="str">
        <f>INDEX('5bezr. na wsi'!B3:G28,MATCH(7,B4:B25,0),1)</f>
        <v>dębicki</v>
      </c>
      <c r="D10" s="6">
        <f>INDEX('5bezr. na wsi'!B3:G28,MATCH(7,B4:B25,0),2)</f>
        <v>1412</v>
      </c>
      <c r="E10" s="61">
        <f>INDEX('5bezr. na wsi'!B3:G28,MATCH(7,B4:B25,0),3)</f>
        <v>1386</v>
      </c>
      <c r="F10" s="6">
        <f>INDEX('5bezr. na wsi'!B3:G28,MATCH(7,B4:B25,0),4)</f>
        <v>26</v>
      </c>
      <c r="G10" s="61">
        <f>INDEX('5bezr. na wsi'!B3:G28,MATCH(7,B4:B25,0),5)</f>
        <v>1427</v>
      </c>
      <c r="H10" s="6">
        <f>INDEX('5bezr. na wsi'!B3:G28,MATCH(7,B4:B25,0),6)</f>
        <v>-15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5</v>
      </c>
      <c r="C11" s="5" t="str">
        <f>INDEX('5bezr. na wsi'!B3:G28,MATCH(8,B4:B25,0),1)</f>
        <v>mielecki</v>
      </c>
      <c r="D11" s="6">
        <f>INDEX('5bezr. na wsi'!B3:G28,MATCH(8,B4:B25,0),2)</f>
        <v>1453</v>
      </c>
      <c r="E11" s="61">
        <f>INDEX('5bezr. na wsi'!B3:G28,MATCH(8,B4:B25,0),3)</f>
        <v>1403</v>
      </c>
      <c r="F11" s="6">
        <f>INDEX('5bezr. na wsi'!B3:G28,MATCH(8,B4:B25,0),4)</f>
        <v>50</v>
      </c>
      <c r="G11" s="61">
        <f>INDEX('5bezr. na wsi'!B3:G28,MATCH(8,B4:B25,0),5)</f>
        <v>1278</v>
      </c>
      <c r="H11" s="6">
        <f>INDEX('5bezr. na wsi'!B3:G28,MATCH(8,B4:B25,0),6)</f>
        <v>175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1545</v>
      </c>
      <c r="E12" s="61">
        <f>INDEX('5bezr. na wsi'!B3:G28,MATCH(9,B4:B25,0),3)</f>
        <v>1524</v>
      </c>
      <c r="F12" s="6">
        <f>INDEX('5bezr. na wsi'!B3:G28,MATCH(9,B4:B25,0),4)</f>
        <v>21</v>
      </c>
      <c r="G12" s="61">
        <f>INDEX('5bezr. na wsi'!B3:G28,MATCH(9,B4:B25,0),5)</f>
        <v>1418</v>
      </c>
      <c r="H12" s="6">
        <f>INDEX('5bezr. na wsi'!B3:G28,MATCH(9,B4:B25,0),6)</f>
        <v>127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1692</v>
      </c>
      <c r="E13" s="61">
        <f>INDEX('5bezr. na wsi'!B3:G28,MATCH(10,B4:B25,0),3)</f>
        <v>1665</v>
      </c>
      <c r="F13" s="6">
        <f>INDEX('5bezr. na wsi'!B3:G28,MATCH(10,B4:B25,0),4)</f>
        <v>27</v>
      </c>
      <c r="G13" s="61">
        <f>INDEX('5bezr. na wsi'!B3:G28,MATCH(10,B4:B25,0),5)</f>
        <v>1929</v>
      </c>
      <c r="H13" s="6">
        <f>INDEX('5bezr. na wsi'!B3:G28,MATCH(10,B4:B25,0),6)</f>
        <v>-237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13</v>
      </c>
      <c r="C14" s="5" t="str">
        <f>INDEX('5bezr. na wsi'!B3:G28,MATCH(11,B4:B25,0),1)</f>
        <v>krośnieński</v>
      </c>
      <c r="D14" s="6">
        <f>INDEX('5bezr. na wsi'!B3:G28,MATCH(11,B4:B25,0),2)</f>
        <v>1900</v>
      </c>
      <c r="E14" s="61">
        <f>INDEX('5bezr. na wsi'!B3:G28,MATCH(11,B4:B25,0),3)</f>
        <v>1890</v>
      </c>
      <c r="F14" s="6">
        <f>INDEX('5bezr. na wsi'!B3:G28,MATCH(11,B4:B25,0),4)</f>
        <v>10</v>
      </c>
      <c r="G14" s="61">
        <f>INDEX('5bezr. na wsi'!B3:G28,MATCH(11,B4:B25,0),5)</f>
        <v>1681</v>
      </c>
      <c r="H14" s="6">
        <f>INDEX('5bezr. na wsi'!B3:G28,MATCH(11,B4:B25,0),6)</f>
        <v>219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8</v>
      </c>
      <c r="C15" s="5" t="str">
        <f>INDEX('5bezr. na wsi'!B3:G28,MATCH(12,B4:B25,0),1)</f>
        <v>niżański</v>
      </c>
      <c r="D15" s="6">
        <f>INDEX('5bezr. na wsi'!B3:G28,MATCH(12,B4:B25,0),2)</f>
        <v>1946</v>
      </c>
      <c r="E15" s="61">
        <f>INDEX('5bezr. na wsi'!B3:G28,MATCH(12,B4:B25,0),3)</f>
        <v>1978</v>
      </c>
      <c r="F15" s="6">
        <f>INDEX('5bezr. na wsi'!B3:G28,MATCH(12,B4:B25,0),4)</f>
        <v>-32</v>
      </c>
      <c r="G15" s="61">
        <f>INDEX('5bezr. na wsi'!B3:G28,MATCH(12,B4:B25,0),5)</f>
        <v>1990</v>
      </c>
      <c r="H15" s="6">
        <f>INDEX('5bezr. na wsi'!B3:G28,MATCH(12,B4:B25,0),6)</f>
        <v>-44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12</v>
      </c>
      <c r="C16" s="5" t="str">
        <f>INDEX('5bezr. na wsi'!B3:G28,MATCH(13,B4:B25,0),1)</f>
        <v>łańcucki</v>
      </c>
      <c r="D16" s="6">
        <f>INDEX('5bezr. na wsi'!B3:G28,MATCH(13,B4:B25,0),2)</f>
        <v>2000</v>
      </c>
      <c r="E16" s="61">
        <f>INDEX('5bezr. na wsi'!B3:G28,MATCH(13,B4:B25,0),3)</f>
        <v>1993</v>
      </c>
      <c r="F16" s="6">
        <f>INDEX('5bezr. na wsi'!B3:G28,MATCH(13,B4:B25,0),4)</f>
        <v>7</v>
      </c>
      <c r="G16" s="61">
        <f>INDEX('5bezr. na wsi'!B3:G28,MATCH(13,B4:B25,0),5)</f>
        <v>2132</v>
      </c>
      <c r="H16" s="6">
        <f>INDEX('5bezr. na wsi'!B3:G28,MATCH(13,B4:B25,0),6)</f>
        <v>-132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2194</v>
      </c>
      <c r="E17" s="61">
        <f>INDEX('5bezr. na wsi'!B3:G28,MATCH(14,B4:B25,0),3)</f>
        <v>2229</v>
      </c>
      <c r="F17" s="6">
        <f>INDEX('5bezr. na wsi'!B3:G28,MATCH(14,B4:B25,0),4)</f>
        <v>-35</v>
      </c>
      <c r="G17" s="61">
        <f>INDEX('5bezr. na wsi'!B3:G28,MATCH(14,B4:B25,0),5)</f>
        <v>2434</v>
      </c>
      <c r="H17" s="6">
        <f>INDEX('5bezr. na wsi'!B3:G28,MATCH(14,B4:B25,0),6)</f>
        <v>-240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2509</v>
      </c>
      <c r="E18" s="61">
        <f>INDEX('5bezr. na wsi'!B3:G28,MATCH(15,B4:B25,0),3)</f>
        <v>2491</v>
      </c>
      <c r="F18" s="6">
        <f>INDEX('5bezr. na wsi'!B3:G28,MATCH(15,B4:B25,0),4)</f>
        <v>18</v>
      </c>
      <c r="G18" s="61">
        <f>INDEX('5bezr. na wsi'!B3:G28,MATCH(15,B4:B25,0),5)</f>
        <v>2686</v>
      </c>
      <c r="H18" s="6">
        <f>INDEX('5bezr. na wsi'!B3:G28,MATCH(15,B4:B25,0),6)</f>
        <v>-177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2594</v>
      </c>
      <c r="E19" s="61">
        <f>INDEX('5bezr. na wsi'!B3:G28,MATCH(16,B4:B25,0),3)</f>
        <v>2601</v>
      </c>
      <c r="F19" s="6">
        <f>INDEX('5bezr. na wsi'!B3:G28,MATCH(16,B4:B25,0),4)</f>
        <v>-7</v>
      </c>
      <c r="G19" s="61">
        <f>INDEX('5bezr. na wsi'!B3:G28,MATCH(16,B4:B25,0),5)</f>
        <v>2860</v>
      </c>
      <c r="H19" s="6">
        <f>INDEX('5bezr. na wsi'!B3:G28,MATCH(16,B4:B25,0),6)</f>
        <v>-266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21</v>
      </c>
      <c r="C20" s="5" t="str">
        <f>INDEX('5bezr. na wsi'!B3:G28,MATCH(17,B4:B25,0),1)</f>
        <v>strzyżowski</v>
      </c>
      <c r="D20" s="6">
        <f>INDEX('5bezr. na wsi'!B3:G28,MATCH(17,B4:B25,0),2)</f>
        <v>2725</v>
      </c>
      <c r="E20" s="61">
        <f>INDEX('5bezr. na wsi'!B3:G28,MATCH(17,B4:B25,0),3)</f>
        <v>2708</v>
      </c>
      <c r="F20" s="6">
        <f>INDEX('5bezr. na wsi'!B3:G28,MATCH(17,B4:B25,0),4)</f>
        <v>17</v>
      </c>
      <c r="G20" s="61">
        <f>INDEX('5bezr. na wsi'!B3:G28,MATCH(17,B4:B25,0),5)</f>
        <v>2862</v>
      </c>
      <c r="H20" s="6">
        <f>INDEX('5bezr. na wsi'!B3:G28,MATCH(17,B4:B25,0),6)</f>
        <v>-137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2735</v>
      </c>
      <c r="E21" s="61">
        <f>INDEX('5bezr. na wsi'!B3:G28,MATCH(18,B4:B25,0),3)</f>
        <v>2719</v>
      </c>
      <c r="F21" s="6">
        <f>INDEX('5bezr. na wsi'!B3:G28,MATCH(18,B4:B25,0),4)</f>
        <v>16</v>
      </c>
      <c r="G21" s="61">
        <f>INDEX('5bezr. na wsi'!B3:G28,MATCH(18,B4:B25,0),5)</f>
        <v>2901</v>
      </c>
      <c r="H21" s="6">
        <f>INDEX('5bezr. na wsi'!B3:G28,MATCH(18,B4:B25,0),6)</f>
        <v>-166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3353</v>
      </c>
      <c r="E22" s="61">
        <f>INDEX('5bezr. na wsi'!B3:G28,MATCH(19,B4:B25,0),3)</f>
        <v>3304</v>
      </c>
      <c r="F22" s="6">
        <f>INDEX('5bezr. na wsi'!B3:G28,MATCH(19,B4:B25,0),4)</f>
        <v>49</v>
      </c>
      <c r="G22" s="61">
        <f>INDEX('5bezr. na wsi'!B3:G28,MATCH(19,B4:B25,0),5)</f>
        <v>3622</v>
      </c>
      <c r="H22" s="6">
        <f>INDEX('5bezr. na wsi'!B3:G28,MATCH(19,B4:B25,0),6)</f>
        <v>-269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jasielski</v>
      </c>
      <c r="D23" s="6">
        <f>INDEX('5bezr. na wsi'!B3:G28,MATCH(20,B4:B25,0),2)</f>
        <v>3364</v>
      </c>
      <c r="E23" s="61">
        <f>INDEX('5bezr. na wsi'!B3:G28,MATCH(20,B4:B25,0),3)</f>
        <v>3321</v>
      </c>
      <c r="F23" s="6">
        <f>INDEX('5bezr. na wsi'!B3:G28,MATCH(20,B4:B25,0),4)</f>
        <v>43</v>
      </c>
      <c r="G23" s="61">
        <f>INDEX('5bezr. na wsi'!B3:G28,MATCH(20,B4:B25,0),5)</f>
        <v>3279</v>
      </c>
      <c r="H23" s="6">
        <f>INDEX('5bezr. na wsi'!B3:G28,MATCH(20,B4:B25,0),6)</f>
        <v>85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rzeszowski</v>
      </c>
      <c r="D24" s="6">
        <f>INDEX('5bezr. na wsi'!B3:G28,MATCH(21,B4:B25,0),2)</f>
        <v>3630</v>
      </c>
      <c r="E24" s="61">
        <f>INDEX('5bezr. na wsi'!B3:G28,MATCH(21,B4:B25,0),3)</f>
        <v>3639</v>
      </c>
      <c r="F24" s="6">
        <f>INDEX('5bezr. na wsi'!B3:G28,MATCH(21,B4:B25,0),4)</f>
        <v>-9</v>
      </c>
      <c r="G24" s="61">
        <f>INDEX('5bezr. na wsi'!B3:G28,MATCH(21,B4:B25,0),5)</f>
        <v>3909</v>
      </c>
      <c r="H24" s="6">
        <f>INDEX('5bezr. na wsi'!B3:G28,MATCH(21,B4:B25,0),6)</f>
        <v>-279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7" t="str">
        <f>INDEX('5bezr. na wsi'!B3:G28,MATCH(22,B4:B25,0),1)</f>
        <v>województwo</v>
      </c>
      <c r="D25" s="59">
        <f>INDEX('5bezr. na wsi'!B3:G28,MATCH(22,B4:B25,0),2)</f>
        <v>41126</v>
      </c>
      <c r="E25" s="63">
        <f>INDEX('5bezr. na wsi'!B3:G28,MATCH(22,B4:B25,0),3)</f>
        <v>40847</v>
      </c>
      <c r="F25" s="59">
        <f>INDEX('5bezr. na wsi'!B3:G28,MATCH(22,B4:B25,0),4)</f>
        <v>279</v>
      </c>
      <c r="G25" s="63">
        <f>INDEX('5bezr. na wsi'!B3:G28,MATCH(22,B4:B25,0),5)</f>
        <v>42644</v>
      </c>
      <c r="H25" s="59">
        <f>INDEX('5bezr. na wsi'!B3:G28,MATCH(22,B4:B25,0),6)</f>
        <v>-1518</v>
      </c>
    </row>
  </sheetData>
  <pageMargins left="0" right="0" top="0.31496062992125984" bottom="0" header="0" footer="0"/>
  <pageSetup paperSize="9" scale="7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16384" width="9.140625" style="3"/>
  </cols>
  <sheetData>
    <row r="1" spans="2:8" ht="19.5" customHeight="1" x14ac:dyDescent="0.2">
      <c r="B1" s="1" t="s">
        <v>79</v>
      </c>
      <c r="C1" s="42"/>
      <c r="D1" s="42"/>
      <c r="E1" s="42"/>
      <c r="F1" s="42"/>
      <c r="G1" s="42"/>
    </row>
    <row r="2" spans="2:8" ht="58.5" x14ac:dyDescent="0.2">
      <c r="B2" s="55" t="s">
        <v>27</v>
      </c>
      <c r="C2" s="56" t="s">
        <v>138</v>
      </c>
      <c r="D2" s="57" t="s">
        <v>123</v>
      </c>
      <c r="E2" s="56" t="s">
        <v>28</v>
      </c>
      <c r="F2" s="57" t="s">
        <v>139</v>
      </c>
      <c r="G2" s="56" t="s">
        <v>26</v>
      </c>
    </row>
    <row r="3" spans="2:8" x14ac:dyDescent="0.2">
      <c r="B3" s="5" t="s">
        <v>0</v>
      </c>
      <c r="C3" s="6">
        <v>610</v>
      </c>
      <c r="D3" s="61">
        <v>603</v>
      </c>
      <c r="E3" s="6">
        <f t="shared" ref="E3:E27" si="0">SUM(C3)-D3</f>
        <v>7</v>
      </c>
      <c r="F3" s="61">
        <v>647</v>
      </c>
      <c r="G3" s="6">
        <f t="shared" ref="G3:G27" si="1">SUM(C3)-F3</f>
        <v>-37</v>
      </c>
      <c r="H3" s="7"/>
    </row>
    <row r="4" spans="2:8" x14ac:dyDescent="0.2">
      <c r="B4" s="5" t="s">
        <v>1</v>
      </c>
      <c r="C4" s="6">
        <v>2415</v>
      </c>
      <c r="D4" s="61">
        <v>2377</v>
      </c>
      <c r="E4" s="6">
        <f t="shared" si="0"/>
        <v>38</v>
      </c>
      <c r="F4" s="61">
        <v>2610</v>
      </c>
      <c r="G4" s="6">
        <f t="shared" si="1"/>
        <v>-195</v>
      </c>
      <c r="H4" s="7"/>
    </row>
    <row r="5" spans="2:8" x14ac:dyDescent="0.2">
      <c r="B5" s="5" t="s">
        <v>2</v>
      </c>
      <c r="C5" s="6">
        <v>988</v>
      </c>
      <c r="D5" s="61">
        <v>982</v>
      </c>
      <c r="E5" s="6">
        <f t="shared" si="0"/>
        <v>6</v>
      </c>
      <c r="F5" s="61">
        <v>1141</v>
      </c>
      <c r="G5" s="6">
        <f t="shared" si="1"/>
        <v>-153</v>
      </c>
      <c r="H5" s="7"/>
    </row>
    <row r="6" spans="2:8" x14ac:dyDescent="0.2">
      <c r="B6" s="5" t="s">
        <v>3</v>
      </c>
      <c r="C6" s="6">
        <v>2493</v>
      </c>
      <c r="D6" s="61">
        <v>2508</v>
      </c>
      <c r="E6" s="6">
        <f t="shared" si="0"/>
        <v>-15</v>
      </c>
      <c r="F6" s="61">
        <v>2887</v>
      </c>
      <c r="G6" s="6">
        <f t="shared" si="1"/>
        <v>-394</v>
      </c>
      <c r="H6" s="7"/>
    </row>
    <row r="7" spans="2:8" x14ac:dyDescent="0.2">
      <c r="B7" s="5" t="s">
        <v>4</v>
      </c>
      <c r="C7" s="6">
        <v>2949</v>
      </c>
      <c r="D7" s="61">
        <v>2939</v>
      </c>
      <c r="E7" s="6">
        <f t="shared" si="0"/>
        <v>10</v>
      </c>
      <c r="F7" s="61">
        <v>3111</v>
      </c>
      <c r="G7" s="6">
        <f t="shared" si="1"/>
        <v>-162</v>
      </c>
      <c r="H7" s="7"/>
    </row>
    <row r="8" spans="2:8" x14ac:dyDescent="0.2">
      <c r="B8" s="5" t="s">
        <v>5</v>
      </c>
      <c r="C8" s="6">
        <v>739</v>
      </c>
      <c r="D8" s="61">
        <v>749</v>
      </c>
      <c r="E8" s="6">
        <f t="shared" si="0"/>
        <v>-10</v>
      </c>
      <c r="F8" s="61">
        <v>839</v>
      </c>
      <c r="G8" s="6">
        <f t="shared" si="1"/>
        <v>-100</v>
      </c>
      <c r="H8" s="7"/>
    </row>
    <row r="9" spans="2:8" x14ac:dyDescent="0.2">
      <c r="B9" s="9" t="s">
        <v>6</v>
      </c>
      <c r="C9" s="6">
        <v>916</v>
      </c>
      <c r="D9" s="61">
        <v>912</v>
      </c>
      <c r="E9" s="6">
        <f t="shared" si="0"/>
        <v>4</v>
      </c>
      <c r="F9" s="61">
        <v>933</v>
      </c>
      <c r="G9" s="6">
        <f t="shared" si="1"/>
        <v>-17</v>
      </c>
      <c r="H9" s="7"/>
    </row>
    <row r="10" spans="2:8" x14ac:dyDescent="0.2">
      <c r="B10" s="5" t="s">
        <v>7</v>
      </c>
      <c r="C10" s="6">
        <v>1021</v>
      </c>
      <c r="D10" s="61">
        <v>1017</v>
      </c>
      <c r="E10" s="6">
        <f t="shared" si="0"/>
        <v>4</v>
      </c>
      <c r="F10" s="61">
        <v>1024</v>
      </c>
      <c r="G10" s="6">
        <f t="shared" si="1"/>
        <v>-3</v>
      </c>
      <c r="H10" s="7"/>
    </row>
    <row r="11" spans="2:8" x14ac:dyDescent="0.2">
      <c r="B11" s="5" t="s">
        <v>8</v>
      </c>
      <c r="C11" s="6">
        <v>1740</v>
      </c>
      <c r="D11" s="61">
        <v>1748</v>
      </c>
      <c r="E11" s="6">
        <f t="shared" si="0"/>
        <v>-8</v>
      </c>
      <c r="F11" s="61">
        <v>2029</v>
      </c>
      <c r="G11" s="6">
        <f t="shared" si="1"/>
        <v>-289</v>
      </c>
      <c r="H11" s="7"/>
    </row>
    <row r="12" spans="2:8" x14ac:dyDescent="0.2">
      <c r="B12" s="5" t="s">
        <v>9</v>
      </c>
      <c r="C12" s="6">
        <v>880</v>
      </c>
      <c r="D12" s="61">
        <v>874</v>
      </c>
      <c r="E12" s="6">
        <f t="shared" si="0"/>
        <v>6</v>
      </c>
      <c r="F12" s="61">
        <v>929</v>
      </c>
      <c r="G12" s="6">
        <f t="shared" si="1"/>
        <v>-49</v>
      </c>
      <c r="H12" s="7"/>
    </row>
    <row r="13" spans="2:8" x14ac:dyDescent="0.2">
      <c r="B13" s="5" t="s">
        <v>10</v>
      </c>
      <c r="C13" s="6">
        <v>1296</v>
      </c>
      <c r="D13" s="61">
        <v>1290</v>
      </c>
      <c r="E13" s="6">
        <f t="shared" si="0"/>
        <v>6</v>
      </c>
      <c r="F13" s="61">
        <v>1492</v>
      </c>
      <c r="G13" s="6">
        <f t="shared" si="1"/>
        <v>-196</v>
      </c>
      <c r="H13" s="7"/>
    </row>
    <row r="14" spans="2:8" x14ac:dyDescent="0.2">
      <c r="B14" s="5" t="s">
        <v>11</v>
      </c>
      <c r="C14" s="6">
        <v>1257</v>
      </c>
      <c r="D14" s="61">
        <v>1242</v>
      </c>
      <c r="E14" s="6">
        <f t="shared" si="0"/>
        <v>15</v>
      </c>
      <c r="F14" s="61">
        <v>1280</v>
      </c>
      <c r="G14" s="6">
        <f t="shared" si="1"/>
        <v>-23</v>
      </c>
      <c r="H14" s="7"/>
    </row>
    <row r="15" spans="2:8" x14ac:dyDescent="0.2">
      <c r="B15" s="5" t="s">
        <v>12</v>
      </c>
      <c r="C15" s="6">
        <v>1704</v>
      </c>
      <c r="D15" s="61">
        <v>1734</v>
      </c>
      <c r="E15" s="6">
        <f t="shared" si="0"/>
        <v>-30</v>
      </c>
      <c r="F15" s="61">
        <v>1844</v>
      </c>
      <c r="G15" s="6">
        <f t="shared" si="1"/>
        <v>-140</v>
      </c>
      <c r="H15" s="7"/>
    </row>
    <row r="16" spans="2:8" x14ac:dyDescent="0.2">
      <c r="B16" s="5" t="s">
        <v>13</v>
      </c>
      <c r="C16" s="6">
        <v>1724</v>
      </c>
      <c r="D16" s="61">
        <v>1726</v>
      </c>
      <c r="E16" s="6">
        <f t="shared" si="0"/>
        <v>-2</v>
      </c>
      <c r="F16" s="61">
        <v>1852</v>
      </c>
      <c r="G16" s="6">
        <f t="shared" si="1"/>
        <v>-128</v>
      </c>
      <c r="H16" s="7"/>
    </row>
    <row r="17" spans="2:8" x14ac:dyDescent="0.2">
      <c r="B17" s="5" t="s">
        <v>14</v>
      </c>
      <c r="C17" s="6">
        <v>1983</v>
      </c>
      <c r="D17" s="61">
        <v>1980</v>
      </c>
      <c r="E17" s="6">
        <f t="shared" si="0"/>
        <v>3</v>
      </c>
      <c r="F17" s="61">
        <v>2202</v>
      </c>
      <c r="G17" s="6">
        <f t="shared" si="1"/>
        <v>-219</v>
      </c>
      <c r="H17" s="7"/>
    </row>
    <row r="18" spans="2:8" x14ac:dyDescent="0.2">
      <c r="B18" s="5" t="s">
        <v>15</v>
      </c>
      <c r="C18" s="6">
        <v>1371</v>
      </c>
      <c r="D18" s="61">
        <v>1393</v>
      </c>
      <c r="E18" s="6">
        <f t="shared" si="0"/>
        <v>-22</v>
      </c>
      <c r="F18" s="61">
        <v>1752</v>
      </c>
      <c r="G18" s="6">
        <f t="shared" si="1"/>
        <v>-381</v>
      </c>
      <c r="H18" s="7"/>
    </row>
    <row r="19" spans="2:8" x14ac:dyDescent="0.2">
      <c r="B19" s="5" t="s">
        <v>16</v>
      </c>
      <c r="C19" s="6">
        <v>2661</v>
      </c>
      <c r="D19" s="61">
        <v>2684</v>
      </c>
      <c r="E19" s="6">
        <f t="shared" si="0"/>
        <v>-23</v>
      </c>
      <c r="F19" s="61">
        <v>3104</v>
      </c>
      <c r="G19" s="6">
        <f t="shared" si="1"/>
        <v>-443</v>
      </c>
      <c r="H19" s="7"/>
    </row>
    <row r="20" spans="2:8" x14ac:dyDescent="0.2">
      <c r="B20" s="5" t="s">
        <v>17</v>
      </c>
      <c r="C20" s="6">
        <v>1333</v>
      </c>
      <c r="D20" s="61">
        <v>1326</v>
      </c>
      <c r="E20" s="6">
        <f t="shared" si="0"/>
        <v>7</v>
      </c>
      <c r="F20" s="61">
        <v>1257</v>
      </c>
      <c r="G20" s="6">
        <f t="shared" si="1"/>
        <v>76</v>
      </c>
      <c r="H20" s="7"/>
    </row>
    <row r="21" spans="2:8" x14ac:dyDescent="0.2">
      <c r="B21" s="5" t="s">
        <v>18</v>
      </c>
      <c r="C21" s="6">
        <v>765</v>
      </c>
      <c r="D21" s="61">
        <v>768</v>
      </c>
      <c r="E21" s="6">
        <f t="shared" si="0"/>
        <v>-3</v>
      </c>
      <c r="F21" s="61">
        <v>862</v>
      </c>
      <c r="G21" s="6">
        <f t="shared" si="1"/>
        <v>-97</v>
      </c>
      <c r="H21" s="7"/>
    </row>
    <row r="22" spans="2:8" x14ac:dyDescent="0.2">
      <c r="B22" s="5" t="s">
        <v>19</v>
      </c>
      <c r="C22" s="6">
        <v>1910</v>
      </c>
      <c r="D22" s="61">
        <v>1918</v>
      </c>
      <c r="E22" s="6">
        <f t="shared" si="0"/>
        <v>-8</v>
      </c>
      <c r="F22" s="61">
        <v>2143</v>
      </c>
      <c r="G22" s="6">
        <f t="shared" si="1"/>
        <v>-233</v>
      </c>
      <c r="H22" s="7"/>
    </row>
    <row r="23" spans="2:8" x14ac:dyDescent="0.2">
      <c r="B23" s="5" t="s">
        <v>20</v>
      </c>
      <c r="C23" s="6">
        <v>616</v>
      </c>
      <c r="D23" s="61">
        <v>618</v>
      </c>
      <c r="E23" s="6">
        <f t="shared" si="0"/>
        <v>-2</v>
      </c>
      <c r="F23" s="61">
        <v>732</v>
      </c>
      <c r="G23" s="6">
        <f t="shared" si="1"/>
        <v>-116</v>
      </c>
      <c r="H23" s="7"/>
    </row>
    <row r="24" spans="2:8" x14ac:dyDescent="0.2">
      <c r="B24" s="5" t="s">
        <v>21</v>
      </c>
      <c r="C24" s="6">
        <v>290</v>
      </c>
      <c r="D24" s="61">
        <v>298</v>
      </c>
      <c r="E24" s="6">
        <f t="shared" si="0"/>
        <v>-8</v>
      </c>
      <c r="F24" s="61">
        <v>339</v>
      </c>
      <c r="G24" s="6">
        <f t="shared" si="1"/>
        <v>-49</v>
      </c>
      <c r="H24" s="7"/>
    </row>
    <row r="25" spans="2:8" x14ac:dyDescent="0.2">
      <c r="B25" s="5" t="s">
        <v>22</v>
      </c>
      <c r="C25" s="43">
        <v>1519</v>
      </c>
      <c r="D25" s="61">
        <v>1534</v>
      </c>
      <c r="E25" s="43">
        <f t="shared" si="0"/>
        <v>-15</v>
      </c>
      <c r="F25" s="61">
        <v>1662</v>
      </c>
      <c r="G25" s="6">
        <f t="shared" si="1"/>
        <v>-143</v>
      </c>
      <c r="H25" s="7"/>
    </row>
    <row r="26" spans="2:8" x14ac:dyDescent="0.2">
      <c r="B26" s="5" t="s">
        <v>23</v>
      </c>
      <c r="C26" s="43">
        <v>3147</v>
      </c>
      <c r="D26" s="61">
        <v>3219</v>
      </c>
      <c r="E26" s="43">
        <f t="shared" si="0"/>
        <v>-72</v>
      </c>
      <c r="F26" s="61">
        <v>3680</v>
      </c>
      <c r="G26" s="6">
        <f t="shared" si="1"/>
        <v>-533</v>
      </c>
      <c r="H26" s="7"/>
    </row>
    <row r="27" spans="2:8" x14ac:dyDescent="0.2">
      <c r="B27" s="5" t="s">
        <v>24</v>
      </c>
      <c r="C27" s="43">
        <v>538</v>
      </c>
      <c r="D27" s="61">
        <v>530</v>
      </c>
      <c r="E27" s="43">
        <f t="shared" si="0"/>
        <v>8</v>
      </c>
      <c r="F27" s="61">
        <v>633</v>
      </c>
      <c r="G27" s="6">
        <f t="shared" si="1"/>
        <v>-95</v>
      </c>
      <c r="H27" s="7"/>
    </row>
    <row r="28" spans="2:8" ht="15" x14ac:dyDescent="0.25">
      <c r="B28" s="58" t="s">
        <v>25</v>
      </c>
      <c r="C28" s="59">
        <f>SUM(C3:C27)</f>
        <v>36865</v>
      </c>
      <c r="D28" s="60">
        <f>SUM(D3:D27)</f>
        <v>36969</v>
      </c>
      <c r="E28" s="59">
        <f>SUM(E3:E27)</f>
        <v>-104</v>
      </c>
      <c r="F28" s="60">
        <f>SUM(F3:F27)</f>
        <v>40984</v>
      </c>
      <c r="G28" s="59">
        <f>SUM(G3:G27)</f>
        <v>-4119</v>
      </c>
      <c r="H28" s="7"/>
    </row>
    <row r="29" spans="2:8" ht="15" x14ac:dyDescent="0.25">
      <c r="B29" s="3" t="s">
        <v>97</v>
      </c>
      <c r="E29" s="19"/>
      <c r="F29" s="7"/>
      <c r="G29" s="7"/>
    </row>
    <row r="30" spans="2:8" x14ac:dyDescent="0.2">
      <c r="B30" s="3" t="s">
        <v>98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91</v>
      </c>
    </row>
    <row r="2" spans="2:8" ht="15" x14ac:dyDescent="0.2">
      <c r="C2" s="20"/>
      <c r="D2" s="21"/>
    </row>
    <row r="3" spans="2:8" ht="71.25" x14ac:dyDescent="0.2">
      <c r="B3" s="62" t="s">
        <v>88</v>
      </c>
      <c r="C3" s="55" t="str">
        <f>T('6długot.'!B2)</f>
        <v>powiaty</v>
      </c>
      <c r="D3" s="55" t="str">
        <f>T('6długot.'!C2)</f>
        <v>liczba bezrobotnych pow. 12 m-cy stan na 31 VIII '23 r.</v>
      </c>
      <c r="E3" s="55" t="str">
        <f>T('6długot.'!D2)</f>
        <v>liczba bezrobotnych pow. 12 m-cy stan na 31 VII '23 r.</v>
      </c>
      <c r="F3" s="55" t="str">
        <f>T('6długot.'!E2)</f>
        <v>wzrost/spadek do poprzedniego  miesiąca</v>
      </c>
      <c r="G3" s="55" t="str">
        <f>T('6długot.'!F2)</f>
        <v>liczba bezrobotnych pow. 12 m-cy,  stan na 31 VIII '22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3</v>
      </c>
      <c r="C4" s="5" t="str">
        <f>INDEX('6długot.'!B3:G28,MATCH(1,B4:B29,0),1)</f>
        <v>Krosno</v>
      </c>
      <c r="D4" s="25">
        <f>INDEX('6długot.'!B3:G28,MATCH(1,B4:B29,0),2)</f>
        <v>290</v>
      </c>
      <c r="E4" s="61">
        <f>INDEX('6długot.'!B3:G28,MATCH(1,B4:B29,0),3)</f>
        <v>298</v>
      </c>
      <c r="F4" s="6">
        <f>INDEX('6długot.'!B3:G28,MATCH(1,B4:B29,0),4)</f>
        <v>-8</v>
      </c>
      <c r="G4" s="61">
        <f>INDEX('6długot.'!B3:G28,MATCH(1,B4:B29,0),5)</f>
        <v>339</v>
      </c>
      <c r="H4" s="6">
        <f>INDEX('6długot.'!B3:G28,MATCH(1,B4:B29,0),6)</f>
        <v>-49</v>
      </c>
    </row>
    <row r="5" spans="2:8" x14ac:dyDescent="0.2">
      <c r="B5" s="6">
        <f>RANK('6długot.'!C4,'6długot.'!$C$3:'6długot.'!$C$28,1)+COUNTIF('6długot.'!$C$3:'6długot.'!C4,'6długot.'!C4)-1</f>
        <v>21</v>
      </c>
      <c r="C5" s="5" t="str">
        <f>INDEX('6długot.'!B3:G28,MATCH(2,B4:B29,0),1)</f>
        <v>Tarnobrzeg</v>
      </c>
      <c r="D5" s="6">
        <f>INDEX('6długot.'!B3:G28,MATCH(2,B4:B29,0),2)</f>
        <v>538</v>
      </c>
      <c r="E5" s="61">
        <f>INDEX('6długot.'!B3:G28,MATCH(2,B4:B29,0),3)</f>
        <v>530</v>
      </c>
      <c r="F5" s="6">
        <f>INDEX('6długot.'!B3:G28,MATCH(2,B4:B29,0),4)</f>
        <v>8</v>
      </c>
      <c r="G5" s="61">
        <f>INDEX('6długot.'!B3:G28,MATCH(2,B4:B29,0),5)</f>
        <v>633</v>
      </c>
      <c r="H5" s="6">
        <f>INDEX('6długot.'!B3:G28,MATCH(2,B4:B29,0),6)</f>
        <v>-95</v>
      </c>
    </row>
    <row r="6" spans="2:8" x14ac:dyDescent="0.2">
      <c r="B6" s="6">
        <f>RANK('6długot.'!C5,'6długot.'!$C$3:'6długot.'!$C$28,1)+COUNTIF('6długot.'!$C$3:'6długot.'!C5,'6długot.'!C5)-1</f>
        <v>9</v>
      </c>
      <c r="C6" s="5" t="str">
        <f>INDEX('6długot.'!B3:G28,MATCH(3,B4:B29,0),1)</f>
        <v>bieszczadzki</v>
      </c>
      <c r="D6" s="6">
        <f>INDEX('6długot.'!B3:G28,MATCH(3,B4:B29,0),2)</f>
        <v>610</v>
      </c>
      <c r="E6" s="61">
        <f>INDEX('6długot.'!B3:G28,MATCH(3,B4:B29,0),3)</f>
        <v>603</v>
      </c>
      <c r="F6" s="6">
        <f>INDEX('6długot.'!B3:G28,MATCH(3,B4:B29,0),4)</f>
        <v>7</v>
      </c>
      <c r="G6" s="61">
        <f>INDEX('6długot.'!B3:G28,MATCH(3,B4:B29,0),5)</f>
        <v>647</v>
      </c>
      <c r="H6" s="6">
        <f>INDEX('6długot.'!B3:G28,MATCH(3,B4:B29,0),6)</f>
        <v>-37</v>
      </c>
    </row>
    <row r="7" spans="2:8" x14ac:dyDescent="0.2">
      <c r="B7" s="6">
        <f>RANK('6długot.'!C6,'6długot.'!$C$3:'6długot.'!$C$28,1)+COUNTIF('6długot.'!$C$3:'6długot.'!C6,'6długot.'!C6)-1</f>
        <v>22</v>
      </c>
      <c r="C7" s="5" t="str">
        <f>INDEX('6długot.'!B3:G28,MATCH(4,B4:B29,0),1)</f>
        <v xml:space="preserve">tarnobrzeski </v>
      </c>
      <c r="D7" s="6">
        <f>INDEX('6długot.'!B3:G28,MATCH(4,B4:B29,0),2)</f>
        <v>616</v>
      </c>
      <c r="E7" s="61">
        <f>INDEX('6długot.'!B3:G28,MATCH(4,B4:B29,0),3)</f>
        <v>618</v>
      </c>
      <c r="F7" s="6">
        <f>INDEX('6długot.'!B3:G28,MATCH(4,B4:B29,0),4)</f>
        <v>-2</v>
      </c>
      <c r="G7" s="61">
        <f>INDEX('6długot.'!B3:G28,MATCH(4,B4:B29,0),5)</f>
        <v>732</v>
      </c>
      <c r="H7" s="6">
        <f>INDEX('6długot.'!B3:G28,MATCH(4,B4:B29,0),6)</f>
        <v>-116</v>
      </c>
    </row>
    <row r="8" spans="2:8" x14ac:dyDescent="0.2">
      <c r="B8" s="6">
        <f>RANK('6długot.'!C7,'6długot.'!$C$3:'6długot.'!$C$28,1)+COUNTIF('6długot.'!$C$3:'6długot.'!C7,'6długot.'!C7)-1</f>
        <v>24</v>
      </c>
      <c r="C8" s="5" t="str">
        <f>INDEX('6długot.'!B3:G28,MATCH(5,B4:B29,0),1)</f>
        <v>kolbuszowski</v>
      </c>
      <c r="D8" s="6">
        <f>INDEX('6długot.'!B3:G28,MATCH(5,B4:B29,0),2)</f>
        <v>739</v>
      </c>
      <c r="E8" s="61">
        <f>INDEX('6długot.'!B3:G28,MATCH(5,B4:B29,0),3)</f>
        <v>749</v>
      </c>
      <c r="F8" s="6">
        <f>INDEX('6długot.'!B3:G28,MATCH(5,B4:B29,0),4)</f>
        <v>-10</v>
      </c>
      <c r="G8" s="61">
        <f>INDEX('6długot.'!B3:G28,MATCH(5,B4:B29,0),5)</f>
        <v>839</v>
      </c>
      <c r="H8" s="6">
        <f>INDEX('6długot.'!B3:G28,MATCH(5,B4:B29,0),6)</f>
        <v>-100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765</v>
      </c>
      <c r="E9" s="61">
        <f>INDEX('6długot.'!B3:G28,MATCH(6,B4:B29,0),3)</f>
        <v>768</v>
      </c>
      <c r="F9" s="6">
        <f>INDEX('6długot.'!B3:G28,MATCH(6,B4:B29,0),4)</f>
        <v>-3</v>
      </c>
      <c r="G9" s="61">
        <f>INDEX('6długot.'!B3:G28,MATCH(6,B4:B29,0),5)</f>
        <v>862</v>
      </c>
      <c r="H9" s="6">
        <f>INDEX('6długot.'!B3:G28,MATCH(6,B4:B29,0),6)</f>
        <v>-97</v>
      </c>
    </row>
    <row r="10" spans="2:8" x14ac:dyDescent="0.2">
      <c r="B10" s="6">
        <f>RANK('6długot.'!C9,'6długot.'!$C$3:'6długot.'!$C$28,1)+COUNTIF('6długot.'!$C$3:'6długot.'!C9,'6długot.'!C9)-1</f>
        <v>8</v>
      </c>
      <c r="C10" s="9" t="str">
        <f>INDEX('6długot.'!B3:G28,MATCH(7,B4:B29,0),1)</f>
        <v>lubaczowski</v>
      </c>
      <c r="D10" s="6">
        <f>INDEX('6długot.'!B3:G28,MATCH(7,B4:B29,0),2)</f>
        <v>880</v>
      </c>
      <c r="E10" s="61">
        <f>INDEX('6długot.'!B3:G28,MATCH(7,B4:B29,0),3)</f>
        <v>874</v>
      </c>
      <c r="F10" s="6">
        <f>INDEX('6długot.'!B3:G28,MATCH(7,B4:B29,0),4)</f>
        <v>6</v>
      </c>
      <c r="G10" s="61">
        <f>INDEX('6długot.'!B3:G28,MATCH(7,B4:B29,0),5)</f>
        <v>929</v>
      </c>
      <c r="H10" s="6">
        <f>INDEX('6długot.'!B3:G28,MATCH(7,B4:B29,0),6)</f>
        <v>-49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krośnieński</v>
      </c>
      <c r="D11" s="6">
        <f>INDEX('6długot.'!B3:G28,MATCH(8,B4:B29,0),2)</f>
        <v>916</v>
      </c>
      <c r="E11" s="61">
        <f>INDEX('6długot.'!B3:G28,MATCH(8,B4:B29,0),3)</f>
        <v>912</v>
      </c>
      <c r="F11" s="6">
        <f>INDEX('6długot.'!B3:G28,MATCH(8,B4:B29,0),4)</f>
        <v>4</v>
      </c>
      <c r="G11" s="61">
        <f>INDEX('6długot.'!B3:G28,MATCH(8,B4:B29,0),5)</f>
        <v>933</v>
      </c>
      <c r="H11" s="6">
        <f>INDEX('6długot.'!B3:G28,MATCH(8,B4:B29,0),6)</f>
        <v>-17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dębicki</v>
      </c>
      <c r="D12" s="6">
        <f>INDEX('6długot.'!B3:G28,MATCH(9,B4:B29,0),2)</f>
        <v>988</v>
      </c>
      <c r="E12" s="61">
        <f>INDEX('6długot.'!B3:G28,MATCH(9,B4:B29,0),3)</f>
        <v>982</v>
      </c>
      <c r="F12" s="6">
        <f>INDEX('6długot.'!B3:G28,MATCH(9,B4:B29,0),4)</f>
        <v>6</v>
      </c>
      <c r="G12" s="61">
        <f>INDEX('6długot.'!B3:G28,MATCH(9,B4:B29,0),5)</f>
        <v>1141</v>
      </c>
      <c r="H12" s="6">
        <f>INDEX('6długot.'!B3:G28,MATCH(9,B4:B29,0),6)</f>
        <v>-153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1021</v>
      </c>
      <c r="E13" s="61">
        <f>INDEX('6długot.'!B3:G28,MATCH(10,B4:B29,0),3)</f>
        <v>1017</v>
      </c>
      <c r="F13" s="6">
        <f>INDEX('6długot.'!B3:G28,MATCH(10,B4:B29,0),4)</f>
        <v>4</v>
      </c>
      <c r="G13" s="61">
        <f>INDEX('6długot.'!B3:G28,MATCH(10,B4:B29,0),5)</f>
        <v>1024</v>
      </c>
      <c r="H13" s="6">
        <f>INDEX('6długot.'!B3:G28,MATCH(10,B4:B29,0),6)</f>
        <v>-3</v>
      </c>
    </row>
    <row r="14" spans="2:8" x14ac:dyDescent="0.2">
      <c r="B14" s="6">
        <f>RANK('6długot.'!C13,'6długot.'!$C$3:'6długot.'!$C$28,1)+COUNTIF('6długot.'!$C$3:'6długot.'!C13,'6długot.'!C13)-1</f>
        <v>12</v>
      </c>
      <c r="C14" s="5" t="str">
        <f>INDEX('6długot.'!B3:G28,MATCH(11,B4:B29,0),1)</f>
        <v>mielecki</v>
      </c>
      <c r="D14" s="6">
        <f>INDEX('6długot.'!B3:G28,MATCH(11,B4:B29,0),2)</f>
        <v>1257</v>
      </c>
      <c r="E14" s="61">
        <f>INDEX('6długot.'!B3:G28,MATCH(11,B4:B29,0),3)</f>
        <v>1242</v>
      </c>
      <c r="F14" s="6">
        <f>INDEX('6długot.'!B3:G28,MATCH(11,B4:B29,0),4)</f>
        <v>15</v>
      </c>
      <c r="G14" s="61">
        <f>INDEX('6długot.'!B3:G28,MATCH(11,B4:B29,0),5)</f>
        <v>1280</v>
      </c>
      <c r="H14" s="6">
        <f>INDEX('6długot.'!B3:G28,MATCH(11,B4:B29,0),6)</f>
        <v>-23</v>
      </c>
    </row>
    <row r="15" spans="2:8" x14ac:dyDescent="0.2">
      <c r="B15" s="6">
        <f>RANK('6długot.'!C14,'6długot.'!$C$3:'6długot.'!$C$28,1)+COUNTIF('6długot.'!$C$3:'6długot.'!C14,'6długot.'!C14)-1</f>
        <v>11</v>
      </c>
      <c r="C15" s="5" t="str">
        <f>INDEX('6długot.'!B3:G28,MATCH(12,B4:B29,0),1)</f>
        <v>łańcucki</v>
      </c>
      <c r="D15" s="6">
        <f>INDEX('6długot.'!B3:G28,MATCH(12,B4:B29,0),2)</f>
        <v>1296</v>
      </c>
      <c r="E15" s="61">
        <f>INDEX('6długot.'!B3:G28,MATCH(12,B4:B29,0),3)</f>
        <v>1290</v>
      </c>
      <c r="F15" s="6">
        <f>INDEX('6długot.'!B3:G28,MATCH(12,B4:B29,0),4)</f>
        <v>6</v>
      </c>
      <c r="G15" s="61">
        <f>INDEX('6długot.'!B3:G28,MATCH(12,B4:B29,0),5)</f>
        <v>1492</v>
      </c>
      <c r="H15" s="6">
        <f>INDEX('6długot.'!B3:G28,MATCH(12,B4:B29,0),6)</f>
        <v>-196</v>
      </c>
    </row>
    <row r="16" spans="2:8" x14ac:dyDescent="0.2">
      <c r="B16" s="6">
        <f>RANK('6długot.'!C15,'6długot.'!$C$3:'6długot.'!$C$28,1)+COUNTIF('6długot.'!$C$3:'6długot.'!C15,'6długot.'!C15)-1</f>
        <v>16</v>
      </c>
      <c r="C16" s="5" t="str">
        <f>INDEX('6długot.'!B3:G28,MATCH(13,B4:B29,0),1)</f>
        <v>sanocki</v>
      </c>
      <c r="D16" s="6">
        <f>INDEX('6długot.'!B3:G28,MATCH(13,B4:B29,0),2)</f>
        <v>1333</v>
      </c>
      <c r="E16" s="61">
        <f>INDEX('6długot.'!B3:G28,MATCH(13,B4:B29,0),3)</f>
        <v>1326</v>
      </c>
      <c r="F16" s="6">
        <f>INDEX('6długot.'!B3:G28,MATCH(13,B4:B29,0),4)</f>
        <v>7</v>
      </c>
      <c r="G16" s="61">
        <f>INDEX('6długot.'!B3:G28,MATCH(13,B4:B29,0),5)</f>
        <v>1257</v>
      </c>
      <c r="H16" s="6">
        <f>INDEX('6długot.'!B3:G28,MATCH(13,B4:B29,0),6)</f>
        <v>76</v>
      </c>
    </row>
    <row r="17" spans="2:8" x14ac:dyDescent="0.2">
      <c r="B17" s="6">
        <f>RANK('6długot.'!C16,'6długot.'!$C$3:'6długot.'!$C$28,1)+COUNTIF('6długot.'!$C$3:'6długot.'!C16,'6długot.'!C16)-1</f>
        <v>17</v>
      </c>
      <c r="C17" s="5" t="str">
        <f>INDEX('6długot.'!B3:G28,MATCH(14,B4:B29,0),1)</f>
        <v>ropczycko-sędziszowski</v>
      </c>
      <c r="D17" s="6">
        <f>INDEX('6długot.'!B3:G28,MATCH(14,B4:B29,0),2)</f>
        <v>1371</v>
      </c>
      <c r="E17" s="61">
        <f>INDEX('6długot.'!B3:G28,MATCH(14,B4:B29,0),3)</f>
        <v>1393</v>
      </c>
      <c r="F17" s="6">
        <f>INDEX('6długot.'!B3:G28,MATCH(14,B4:B29,0),4)</f>
        <v>-22</v>
      </c>
      <c r="G17" s="61">
        <f>INDEX('6długot.'!B3:G28,MATCH(14,B4:B29,0),5)</f>
        <v>1752</v>
      </c>
      <c r="H17" s="6">
        <f>INDEX('6długot.'!B3:G28,MATCH(14,B4:B29,0),6)</f>
        <v>-381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1519</v>
      </c>
      <c r="E18" s="61">
        <f>INDEX('6długot.'!B3:G28,MATCH(15,B4:B29,0),3)</f>
        <v>1534</v>
      </c>
      <c r="F18" s="6">
        <f>INDEX('6długot.'!B3:G28,MATCH(15,B4:B29,0),4)</f>
        <v>-15</v>
      </c>
      <c r="G18" s="61">
        <f>INDEX('6długot.'!B3:G28,MATCH(15,B4:B29,0),5)</f>
        <v>1662</v>
      </c>
      <c r="H18" s="6">
        <f>INDEX('6długot.'!B3:G28,MATCH(15,B4:B29,0),6)</f>
        <v>-143</v>
      </c>
    </row>
    <row r="19" spans="2:8" x14ac:dyDescent="0.2">
      <c r="B19" s="6">
        <f>RANK('6długot.'!C18,'6długot.'!$C$3:'6długot.'!$C$28,1)+COUNTIF('6długot.'!$C$3:'6długot.'!C18,'6długot.'!C18)-1</f>
        <v>14</v>
      </c>
      <c r="C19" s="5" t="str">
        <f>INDEX('6długot.'!B3:G28,MATCH(16,B4:B29,0),1)</f>
        <v>niżański</v>
      </c>
      <c r="D19" s="6">
        <f>INDEX('6długot.'!B3:G28,MATCH(16,B4:B29,0),2)</f>
        <v>1704</v>
      </c>
      <c r="E19" s="61">
        <f>INDEX('6długot.'!B3:G28,MATCH(16,B4:B29,0),3)</f>
        <v>1734</v>
      </c>
      <c r="F19" s="6">
        <f>INDEX('6długot.'!B3:G28,MATCH(16,B4:B29,0),4)</f>
        <v>-30</v>
      </c>
      <c r="G19" s="61">
        <f>INDEX('6długot.'!B3:G28,MATCH(16,B4:B29,0),5)</f>
        <v>1844</v>
      </c>
      <c r="H19" s="6">
        <f>INDEX('6długot.'!B3:G28,MATCH(16,B4:B29,0),6)</f>
        <v>-140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przemyski</v>
      </c>
      <c r="D20" s="6">
        <f>INDEX('6długot.'!B3:G28,MATCH(17,B4:B29,0),2)</f>
        <v>1724</v>
      </c>
      <c r="E20" s="61">
        <f>INDEX('6długot.'!B3:G28,MATCH(17,B4:B29,0),3)</f>
        <v>1726</v>
      </c>
      <c r="F20" s="6">
        <f>INDEX('6długot.'!B3:G28,MATCH(17,B4:B29,0),4)</f>
        <v>-2</v>
      </c>
      <c r="G20" s="61">
        <f>INDEX('6długot.'!B3:G28,MATCH(17,B4:B29,0),5)</f>
        <v>1852</v>
      </c>
      <c r="H20" s="6">
        <f>INDEX('6długot.'!B3:G28,MATCH(17,B4:B29,0),6)</f>
        <v>-128</v>
      </c>
    </row>
    <row r="21" spans="2:8" x14ac:dyDescent="0.2">
      <c r="B21" s="6">
        <f>RANK('6długot.'!C20,'6długot.'!$C$3:'6długot.'!$C$28,1)+COUNTIF('6długot.'!$C$3:'6długot.'!C20,'6długot.'!C20)-1</f>
        <v>13</v>
      </c>
      <c r="C21" s="5" t="str">
        <f>INDEX('6długot.'!B3:G28,MATCH(18,B4:B29,0),1)</f>
        <v>leżajski</v>
      </c>
      <c r="D21" s="6">
        <f>INDEX('6długot.'!B3:G28,MATCH(18,B4:B29,0),2)</f>
        <v>1740</v>
      </c>
      <c r="E21" s="61">
        <f>INDEX('6długot.'!B3:G28,MATCH(18,B4:B29,0),3)</f>
        <v>1748</v>
      </c>
      <c r="F21" s="6">
        <f>INDEX('6długot.'!B3:G28,MATCH(18,B4:B29,0),4)</f>
        <v>-8</v>
      </c>
      <c r="G21" s="61">
        <f>INDEX('6długot.'!B3:G28,MATCH(18,B4:B29,0),5)</f>
        <v>2029</v>
      </c>
      <c r="H21" s="6">
        <f>INDEX('6długot.'!B3:G28,MATCH(18,B4:B29,0),6)</f>
        <v>-289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1910</v>
      </c>
      <c r="E22" s="61">
        <f>INDEX('6długot.'!B3:G28,MATCH(19,B4:B29,0),3)</f>
        <v>1918</v>
      </c>
      <c r="F22" s="6">
        <f>INDEX('6długot.'!B3:G28,MATCH(19,B4:B29,0),4)</f>
        <v>-8</v>
      </c>
      <c r="G22" s="61">
        <f>INDEX('6długot.'!B3:G28,MATCH(19,B4:B29,0),5)</f>
        <v>2143</v>
      </c>
      <c r="H22" s="6">
        <f>INDEX('6długot.'!B3:G28,MATCH(19,B4:B29,0),6)</f>
        <v>-233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1983</v>
      </c>
      <c r="E23" s="61">
        <f>INDEX('6długot.'!B3:G28,MATCH(20,B4:B29,0),3)</f>
        <v>1980</v>
      </c>
      <c r="F23" s="6">
        <f>INDEX('6długot.'!B3:G28,MATCH(20,B4:B29,0),4)</f>
        <v>3</v>
      </c>
      <c r="G23" s="61">
        <f>INDEX('6długot.'!B3:G28,MATCH(20,B4:B29,0),5)</f>
        <v>2202</v>
      </c>
      <c r="H23" s="6">
        <f>INDEX('6długot.'!B3:G28,MATCH(20,B4:B29,0),6)</f>
        <v>-219</v>
      </c>
    </row>
    <row r="24" spans="2:8" x14ac:dyDescent="0.2">
      <c r="B24" s="6">
        <f>RANK('6długot.'!C23,'6długot.'!$C$3:'6długot.'!$C$28,1)+COUNTIF('6długot.'!$C$3:'6długot.'!C23,'6długot.'!C23)-1</f>
        <v>4</v>
      </c>
      <c r="C24" s="5" t="str">
        <f>INDEX('6długot.'!B3:G28,MATCH(21,B4:B29,0),1)</f>
        <v>brzozowski</v>
      </c>
      <c r="D24" s="6">
        <f>INDEX('6długot.'!B3:G28,MATCH(21,B4:B29,0),2)</f>
        <v>2415</v>
      </c>
      <c r="E24" s="61">
        <f>INDEX('6długot.'!B3:G28,MATCH(21,B4:B29,0),3)</f>
        <v>2377</v>
      </c>
      <c r="F24" s="6">
        <f>INDEX('6długot.'!B3:G28,MATCH(21,B4:B29,0),4)</f>
        <v>38</v>
      </c>
      <c r="G24" s="61">
        <f>INDEX('6długot.'!B3:G28,MATCH(21,B4:B29,0),5)</f>
        <v>2610</v>
      </c>
      <c r="H24" s="6">
        <f>INDEX('6długot.'!B3:G28,MATCH(21,B4:B29,0),6)</f>
        <v>-195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jarosławski</v>
      </c>
      <c r="D25" s="6">
        <f>INDEX('6długot.'!B3:G28,MATCH(22,B4:B29,0),2)</f>
        <v>2493</v>
      </c>
      <c r="E25" s="61">
        <f>INDEX('6długot.'!B3:G28,MATCH(22,B4:B29,0),3)</f>
        <v>2508</v>
      </c>
      <c r="F25" s="6">
        <f>INDEX('6długot.'!B3:G28,MATCH(22,B4:B29,0),4)</f>
        <v>-15</v>
      </c>
      <c r="G25" s="61">
        <f>INDEX('6długot.'!B3:G28,MATCH(22,B4:B29,0),5)</f>
        <v>2887</v>
      </c>
      <c r="H25" s="6">
        <f>INDEX('6długot.'!B3:G28,MATCH(22,B4:B29,0),6)</f>
        <v>-394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2661</v>
      </c>
      <c r="E26" s="61">
        <f>INDEX('6długot.'!B3:G28,MATCH(23,B4:B29,0),3)</f>
        <v>2684</v>
      </c>
      <c r="F26" s="6">
        <f>INDEX('6długot.'!B3:G28,MATCH(23,B4:B29,0),4)</f>
        <v>-23</v>
      </c>
      <c r="G26" s="61">
        <f>INDEX('6długot.'!B3:G28,MATCH(23,B4:B29,0),5)</f>
        <v>3104</v>
      </c>
      <c r="H26" s="6">
        <f>INDEX('6długot.'!B3:G28,MATCH(23,B4:B29,0),6)</f>
        <v>-443</v>
      </c>
    </row>
    <row r="27" spans="2:8" x14ac:dyDescent="0.2">
      <c r="B27" s="6">
        <f>RANK('6długot.'!C26,'6długot.'!$C$3:'6długot.'!$C$28,1)+COUNTIF('6długot.'!$C$3:'6długot.'!C26,'6długot.'!C26)-1</f>
        <v>25</v>
      </c>
      <c r="C27" s="5" t="str">
        <f>INDEX('6długot.'!B3:G28,MATCH(24,B4:B29,0),1)</f>
        <v>jasielski</v>
      </c>
      <c r="D27" s="6">
        <f>INDEX('6długot.'!B3:G28,MATCH(24,B4:B29,0),2)</f>
        <v>2949</v>
      </c>
      <c r="E27" s="61">
        <f>INDEX('6długot.'!B3:G28,MATCH(24,B4:B29,0),3)</f>
        <v>2939</v>
      </c>
      <c r="F27" s="6">
        <f>INDEX('6długot.'!B3:G28,MATCH(24,B4:B29,0),4)</f>
        <v>10</v>
      </c>
      <c r="G27" s="61">
        <f>INDEX('6długot.'!B3:G28,MATCH(24,B4:B29,0),5)</f>
        <v>3111</v>
      </c>
      <c r="H27" s="6">
        <f>INDEX('6długot.'!B3:G28,MATCH(24,B4:B29,0),6)</f>
        <v>-162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Rzeszów</v>
      </c>
      <c r="D28" s="6">
        <f>INDEX('6długot.'!B3:G28,MATCH(25,B4:B29,0),2)</f>
        <v>3147</v>
      </c>
      <c r="E28" s="61">
        <f>INDEX('6długot.'!B3:G28,MATCH(25,B4:B29,0),3)</f>
        <v>3219</v>
      </c>
      <c r="F28" s="6">
        <f>INDEX('6długot.'!B3:G28,MATCH(25,B4:B29,0),4)</f>
        <v>-72</v>
      </c>
      <c r="G28" s="61">
        <f>INDEX('6długot.'!B3:G28,MATCH(25,B4:B29,0),5)</f>
        <v>3680</v>
      </c>
      <c r="H28" s="6">
        <f>INDEX('6długot.'!B3:G28,MATCH(25,B4:B29,0),6)</f>
        <v>-533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36865</v>
      </c>
      <c r="E29" s="63">
        <f>INDEX('6długot.'!B3:G28,MATCH(26,B4:B29,0),3)</f>
        <v>36969</v>
      </c>
      <c r="F29" s="59">
        <f>INDEX('6długot.'!B3:G28,MATCH(26,B4:B29,0),4)</f>
        <v>-104</v>
      </c>
      <c r="G29" s="63">
        <f>INDEX('6długot.'!B3:G28,MATCH(26,B4:B29,0),5)</f>
        <v>40984</v>
      </c>
      <c r="H29" s="59">
        <f>INDEX('6długot.'!B3:G28,MATCH(26,B4:B29,0),6)</f>
        <v>-4119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16384" width="9.140625" style="3"/>
  </cols>
  <sheetData>
    <row r="1" spans="2:8" ht="20.25" customHeight="1" x14ac:dyDescent="0.2">
      <c r="B1" s="1" t="s">
        <v>96</v>
      </c>
      <c r="C1" s="44"/>
      <c r="D1" s="44"/>
      <c r="E1" s="44"/>
      <c r="F1" s="44"/>
      <c r="G1" s="44"/>
    </row>
    <row r="2" spans="2:8" ht="57.75" x14ac:dyDescent="0.2">
      <c r="B2" s="55" t="s">
        <v>27</v>
      </c>
      <c r="C2" s="56" t="s">
        <v>140</v>
      </c>
      <c r="D2" s="57" t="s">
        <v>124</v>
      </c>
      <c r="E2" s="56" t="s">
        <v>28</v>
      </c>
      <c r="F2" s="57" t="s">
        <v>143</v>
      </c>
      <c r="G2" s="56" t="s">
        <v>26</v>
      </c>
    </row>
    <row r="3" spans="2:8" x14ac:dyDescent="0.2">
      <c r="B3" s="5" t="s">
        <v>0</v>
      </c>
      <c r="C3" s="45">
        <v>237</v>
      </c>
      <c r="D3" s="61">
        <v>240</v>
      </c>
      <c r="E3" s="45">
        <f t="shared" ref="E3:E27" si="0">SUM(C3)-D3</f>
        <v>-3</v>
      </c>
      <c r="F3" s="61">
        <v>269</v>
      </c>
      <c r="G3" s="45">
        <f t="shared" ref="G3:G27" si="1">SUM(C3)-F3</f>
        <v>-32</v>
      </c>
      <c r="H3" s="7"/>
    </row>
    <row r="4" spans="2:8" x14ac:dyDescent="0.2">
      <c r="B4" s="5" t="s">
        <v>1</v>
      </c>
      <c r="C4" s="45">
        <v>949</v>
      </c>
      <c r="D4" s="61">
        <v>909</v>
      </c>
      <c r="E4" s="45">
        <f t="shared" si="0"/>
        <v>40</v>
      </c>
      <c r="F4" s="61">
        <v>965</v>
      </c>
      <c r="G4" s="45">
        <f t="shared" si="1"/>
        <v>-16</v>
      </c>
      <c r="H4" s="7"/>
    </row>
    <row r="5" spans="2:8" x14ac:dyDescent="0.2">
      <c r="B5" s="5" t="s">
        <v>2</v>
      </c>
      <c r="C5" s="45">
        <v>696</v>
      </c>
      <c r="D5" s="61">
        <v>659</v>
      </c>
      <c r="E5" s="45">
        <f t="shared" si="0"/>
        <v>37</v>
      </c>
      <c r="F5" s="61">
        <v>673</v>
      </c>
      <c r="G5" s="45">
        <f t="shared" si="1"/>
        <v>23</v>
      </c>
      <c r="H5" s="7"/>
    </row>
    <row r="6" spans="2:8" x14ac:dyDescent="0.2">
      <c r="B6" s="5" t="s">
        <v>3</v>
      </c>
      <c r="C6" s="45">
        <v>1063</v>
      </c>
      <c r="D6" s="61">
        <v>1062</v>
      </c>
      <c r="E6" s="45">
        <f t="shared" si="0"/>
        <v>1</v>
      </c>
      <c r="F6" s="61">
        <v>1174</v>
      </c>
      <c r="G6" s="45">
        <f t="shared" si="1"/>
        <v>-111</v>
      </c>
      <c r="H6" s="7"/>
    </row>
    <row r="7" spans="2:8" x14ac:dyDescent="0.2">
      <c r="B7" s="5" t="s">
        <v>4</v>
      </c>
      <c r="C7" s="45">
        <v>1193</v>
      </c>
      <c r="D7" s="61">
        <v>1140</v>
      </c>
      <c r="E7" s="45">
        <f t="shared" si="0"/>
        <v>53</v>
      </c>
      <c r="F7" s="61">
        <v>1040</v>
      </c>
      <c r="G7" s="45">
        <f t="shared" si="1"/>
        <v>153</v>
      </c>
      <c r="H7" s="7"/>
    </row>
    <row r="8" spans="2:8" x14ac:dyDescent="0.2">
      <c r="B8" s="5" t="s">
        <v>5</v>
      </c>
      <c r="C8" s="45">
        <v>437</v>
      </c>
      <c r="D8" s="61">
        <v>440</v>
      </c>
      <c r="E8" s="45">
        <f t="shared" si="0"/>
        <v>-3</v>
      </c>
      <c r="F8" s="61">
        <v>441</v>
      </c>
      <c r="G8" s="45">
        <f t="shared" si="1"/>
        <v>-4</v>
      </c>
      <c r="H8" s="7"/>
    </row>
    <row r="9" spans="2:8" x14ac:dyDescent="0.2">
      <c r="B9" s="9" t="s">
        <v>6</v>
      </c>
      <c r="C9" s="45">
        <v>554</v>
      </c>
      <c r="D9" s="61">
        <v>534</v>
      </c>
      <c r="E9" s="45">
        <f t="shared" si="0"/>
        <v>20</v>
      </c>
      <c r="F9" s="61">
        <v>417</v>
      </c>
      <c r="G9" s="45">
        <f t="shared" si="1"/>
        <v>137</v>
      </c>
      <c r="H9" s="7"/>
    </row>
    <row r="10" spans="2:8" x14ac:dyDescent="0.2">
      <c r="B10" s="5" t="s">
        <v>7</v>
      </c>
      <c r="C10" s="45">
        <v>388</v>
      </c>
      <c r="D10" s="61">
        <v>378</v>
      </c>
      <c r="E10" s="45">
        <f t="shared" si="0"/>
        <v>10</v>
      </c>
      <c r="F10" s="61">
        <v>396</v>
      </c>
      <c r="G10" s="45">
        <f t="shared" si="1"/>
        <v>-8</v>
      </c>
      <c r="H10" s="7"/>
    </row>
    <row r="11" spans="2:8" x14ac:dyDescent="0.2">
      <c r="B11" s="5" t="s">
        <v>8</v>
      </c>
      <c r="C11" s="45">
        <v>809</v>
      </c>
      <c r="D11" s="61">
        <v>816</v>
      </c>
      <c r="E11" s="45">
        <f t="shared" si="0"/>
        <v>-7</v>
      </c>
      <c r="F11" s="61">
        <v>882</v>
      </c>
      <c r="G11" s="45">
        <f t="shared" si="1"/>
        <v>-73</v>
      </c>
      <c r="H11" s="7"/>
    </row>
    <row r="12" spans="2:8" x14ac:dyDescent="0.2">
      <c r="B12" s="5" t="s">
        <v>9</v>
      </c>
      <c r="C12" s="45">
        <v>477</v>
      </c>
      <c r="D12" s="61">
        <v>439</v>
      </c>
      <c r="E12" s="45">
        <f t="shared" si="0"/>
        <v>38</v>
      </c>
      <c r="F12" s="61">
        <v>421</v>
      </c>
      <c r="G12" s="45">
        <f t="shared" si="1"/>
        <v>56</v>
      </c>
      <c r="H12" s="7"/>
    </row>
    <row r="13" spans="2:8" x14ac:dyDescent="0.2">
      <c r="B13" s="5" t="s">
        <v>10</v>
      </c>
      <c r="C13" s="45">
        <v>707</v>
      </c>
      <c r="D13" s="61">
        <v>699</v>
      </c>
      <c r="E13" s="45">
        <f t="shared" si="0"/>
        <v>8</v>
      </c>
      <c r="F13" s="61">
        <v>784</v>
      </c>
      <c r="G13" s="45">
        <f t="shared" si="1"/>
        <v>-77</v>
      </c>
      <c r="H13" s="7"/>
    </row>
    <row r="14" spans="2:8" x14ac:dyDescent="0.2">
      <c r="B14" s="5" t="s">
        <v>11</v>
      </c>
      <c r="C14" s="45">
        <v>776</v>
      </c>
      <c r="D14" s="61">
        <v>735</v>
      </c>
      <c r="E14" s="45">
        <f t="shared" si="0"/>
        <v>41</v>
      </c>
      <c r="F14" s="61">
        <v>647</v>
      </c>
      <c r="G14" s="45">
        <f t="shared" si="1"/>
        <v>129</v>
      </c>
      <c r="H14" s="7"/>
    </row>
    <row r="15" spans="2:8" x14ac:dyDescent="0.2">
      <c r="B15" s="5" t="s">
        <v>12</v>
      </c>
      <c r="C15" s="45">
        <v>798</v>
      </c>
      <c r="D15" s="61">
        <v>784</v>
      </c>
      <c r="E15" s="45">
        <f t="shared" si="0"/>
        <v>14</v>
      </c>
      <c r="F15" s="61">
        <v>770</v>
      </c>
      <c r="G15" s="45">
        <f t="shared" si="1"/>
        <v>28</v>
      </c>
      <c r="H15" s="7"/>
    </row>
    <row r="16" spans="2:8" x14ac:dyDescent="0.2">
      <c r="B16" s="5" t="s">
        <v>13</v>
      </c>
      <c r="C16" s="45">
        <v>713</v>
      </c>
      <c r="D16" s="61">
        <v>701</v>
      </c>
      <c r="E16" s="45">
        <f t="shared" si="0"/>
        <v>12</v>
      </c>
      <c r="F16" s="61">
        <v>731</v>
      </c>
      <c r="G16" s="45">
        <f t="shared" si="1"/>
        <v>-18</v>
      </c>
      <c r="H16" s="7"/>
    </row>
    <row r="17" spans="2:8" x14ac:dyDescent="0.2">
      <c r="B17" s="5" t="s">
        <v>14</v>
      </c>
      <c r="C17" s="45">
        <v>902</v>
      </c>
      <c r="D17" s="61">
        <v>903</v>
      </c>
      <c r="E17" s="45">
        <f t="shared" si="0"/>
        <v>-1</v>
      </c>
      <c r="F17" s="61">
        <v>1033</v>
      </c>
      <c r="G17" s="45">
        <f t="shared" si="1"/>
        <v>-131</v>
      </c>
      <c r="H17" s="7"/>
    </row>
    <row r="18" spans="2:8" x14ac:dyDescent="0.2">
      <c r="B18" s="5" t="s">
        <v>15</v>
      </c>
      <c r="C18" s="45">
        <v>757</v>
      </c>
      <c r="D18" s="61">
        <v>761</v>
      </c>
      <c r="E18" s="45">
        <f t="shared" si="0"/>
        <v>-4</v>
      </c>
      <c r="F18" s="61">
        <v>844</v>
      </c>
      <c r="G18" s="45">
        <f t="shared" si="1"/>
        <v>-87</v>
      </c>
      <c r="H18" s="7"/>
    </row>
    <row r="19" spans="2:8" x14ac:dyDescent="0.2">
      <c r="B19" s="5" t="s">
        <v>16</v>
      </c>
      <c r="C19" s="45">
        <v>1217</v>
      </c>
      <c r="D19" s="61">
        <v>1189</v>
      </c>
      <c r="E19" s="45">
        <f t="shared" si="0"/>
        <v>28</v>
      </c>
      <c r="F19" s="61">
        <v>1297</v>
      </c>
      <c r="G19" s="45">
        <f t="shared" si="1"/>
        <v>-80</v>
      </c>
      <c r="H19" s="7"/>
    </row>
    <row r="20" spans="2:8" x14ac:dyDescent="0.2">
      <c r="B20" s="5" t="s">
        <v>17</v>
      </c>
      <c r="C20" s="45">
        <v>689</v>
      </c>
      <c r="D20" s="61">
        <v>679</v>
      </c>
      <c r="E20" s="45">
        <f t="shared" si="0"/>
        <v>10</v>
      </c>
      <c r="F20" s="61">
        <v>677</v>
      </c>
      <c r="G20" s="45">
        <f t="shared" si="1"/>
        <v>12</v>
      </c>
      <c r="H20" s="7"/>
    </row>
    <row r="21" spans="2:8" x14ac:dyDescent="0.2">
      <c r="B21" s="5" t="s">
        <v>18</v>
      </c>
      <c r="C21" s="45">
        <v>496</v>
      </c>
      <c r="D21" s="61">
        <v>473</v>
      </c>
      <c r="E21" s="45">
        <f t="shared" si="0"/>
        <v>23</v>
      </c>
      <c r="F21" s="61">
        <v>509</v>
      </c>
      <c r="G21" s="45">
        <f t="shared" si="1"/>
        <v>-13</v>
      </c>
      <c r="H21" s="7"/>
    </row>
    <row r="22" spans="2:8" x14ac:dyDescent="0.2">
      <c r="B22" s="5" t="s">
        <v>19</v>
      </c>
      <c r="C22" s="45">
        <v>802</v>
      </c>
      <c r="D22" s="61">
        <v>765</v>
      </c>
      <c r="E22" s="45">
        <f t="shared" si="0"/>
        <v>37</v>
      </c>
      <c r="F22" s="61">
        <v>897</v>
      </c>
      <c r="G22" s="45">
        <f t="shared" si="1"/>
        <v>-95</v>
      </c>
      <c r="H22" s="7"/>
    </row>
    <row r="23" spans="2:8" x14ac:dyDescent="0.2">
      <c r="B23" s="5" t="s">
        <v>20</v>
      </c>
      <c r="C23" s="45">
        <v>316</v>
      </c>
      <c r="D23" s="61">
        <v>297</v>
      </c>
      <c r="E23" s="45">
        <f t="shared" si="0"/>
        <v>19</v>
      </c>
      <c r="F23" s="61">
        <v>318</v>
      </c>
      <c r="G23" s="45">
        <f t="shared" si="1"/>
        <v>-2</v>
      </c>
      <c r="H23" s="7"/>
    </row>
    <row r="24" spans="2:8" x14ac:dyDescent="0.2">
      <c r="B24" s="5" t="s">
        <v>21</v>
      </c>
      <c r="C24" s="45">
        <v>146</v>
      </c>
      <c r="D24" s="61">
        <v>119</v>
      </c>
      <c r="E24" s="45">
        <f t="shared" si="0"/>
        <v>27</v>
      </c>
      <c r="F24" s="61">
        <v>116</v>
      </c>
      <c r="G24" s="45">
        <f t="shared" si="1"/>
        <v>30</v>
      </c>
      <c r="H24" s="7"/>
    </row>
    <row r="25" spans="2:8" x14ac:dyDescent="0.2">
      <c r="B25" s="5" t="s">
        <v>22</v>
      </c>
      <c r="C25" s="45">
        <v>430</v>
      </c>
      <c r="D25" s="61">
        <v>419</v>
      </c>
      <c r="E25" s="45">
        <f t="shared" si="0"/>
        <v>11</v>
      </c>
      <c r="F25" s="61">
        <v>371</v>
      </c>
      <c r="G25" s="45">
        <f t="shared" si="1"/>
        <v>59</v>
      </c>
      <c r="H25" s="7"/>
    </row>
    <row r="26" spans="2:8" x14ac:dyDescent="0.2">
      <c r="B26" s="5" t="s">
        <v>23</v>
      </c>
      <c r="C26" s="45">
        <v>963</v>
      </c>
      <c r="D26" s="61">
        <v>969</v>
      </c>
      <c r="E26" s="45">
        <f t="shared" si="0"/>
        <v>-6</v>
      </c>
      <c r="F26" s="61">
        <v>1025</v>
      </c>
      <c r="G26" s="45">
        <f t="shared" si="1"/>
        <v>-62</v>
      </c>
      <c r="H26" s="7"/>
    </row>
    <row r="27" spans="2:8" x14ac:dyDescent="0.2">
      <c r="B27" s="5" t="s">
        <v>24</v>
      </c>
      <c r="C27" s="45">
        <v>224</v>
      </c>
      <c r="D27" s="61">
        <v>218</v>
      </c>
      <c r="E27" s="45">
        <f t="shared" si="0"/>
        <v>6</v>
      </c>
      <c r="F27" s="61">
        <v>200</v>
      </c>
      <c r="G27" s="45">
        <f t="shared" si="1"/>
        <v>24</v>
      </c>
      <c r="H27" s="7"/>
    </row>
    <row r="28" spans="2:8" ht="15" x14ac:dyDescent="0.25">
      <c r="B28" s="58" t="s">
        <v>25</v>
      </c>
      <c r="C28" s="78">
        <f>SUM(C3:C27)</f>
        <v>16739</v>
      </c>
      <c r="D28" s="63">
        <f>SUM(D3:D27)</f>
        <v>16328</v>
      </c>
      <c r="E28" s="78">
        <f>SUM(E3:E27)</f>
        <v>411</v>
      </c>
      <c r="F28" s="63">
        <f>SUM(F3:F27)</f>
        <v>16897</v>
      </c>
      <c r="G28" s="78">
        <f>SUM(G3:G27)</f>
        <v>-158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83</v>
      </c>
    </row>
    <row r="2" spans="2:8" ht="15" x14ac:dyDescent="0.2">
      <c r="C2" s="20"/>
      <c r="D2" s="21"/>
    </row>
    <row r="3" spans="2:8" ht="71.25" x14ac:dyDescent="0.2">
      <c r="B3" s="62" t="s">
        <v>88</v>
      </c>
      <c r="C3" s="55" t="str">
        <f>T('7do 30 r.ż.'!B2)</f>
        <v>powiaty</v>
      </c>
      <c r="D3" s="55" t="str">
        <f>T('7do 30 r.ż.'!C2)</f>
        <v>liczba bezrobotnych do 30 r. ż. stan na 31 VIII '23 r.</v>
      </c>
      <c r="E3" s="55" t="str">
        <f>T('7do 30 r.ż.'!D2)</f>
        <v>liczba bezrobotnych do 30 r. ż. stan na 31 VII '23 r.</v>
      </c>
      <c r="F3" s="55" t="str">
        <f>T('7do 30 r.ż.'!E2)</f>
        <v>wzrost/spadek do poprzedniego  miesiąca</v>
      </c>
      <c r="G3" s="55" t="str">
        <f>T('7do 30 r.ż.'!F2)</f>
        <v>liczba bezrobotnych do 30 r. ż. stan na 31 VIII '22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146</v>
      </c>
      <c r="E4" s="61">
        <f>INDEX('7do 30 r.ż.'!B3:G28,MATCH(1,B4:B29,0),3)</f>
        <v>119</v>
      </c>
      <c r="F4" s="6">
        <f>INDEX('7do 30 r.ż.'!B3:G28,MATCH(1,B4:B29,0),4)</f>
        <v>27</v>
      </c>
      <c r="G4" s="61">
        <f>INDEX('7do 30 r.ż.'!B3:G28,MATCH(1,B4:B29,0),5)</f>
        <v>116</v>
      </c>
      <c r="H4" s="6">
        <f>INDEX('7do 30 r.ż.'!B3:G28,MATCH(1,B4:B29,0),6)</f>
        <v>30</v>
      </c>
    </row>
    <row r="5" spans="2:8" x14ac:dyDescent="0.2">
      <c r="B5" s="6">
        <f>RANK('7do 30 r.ż.'!C4,'7do 30 r.ż.'!$C$3:'7do 30 r.ż.'!$C$28,1)+COUNTIF('7do 30 r.ż.'!$C$3:'7do 30 r.ż.'!C4,'7do 30 r.ż.'!C4)-1</f>
        <v>21</v>
      </c>
      <c r="C5" s="5" t="str">
        <f>INDEX('7do 30 r.ż.'!B3:G28,MATCH(2,B4:B29,0),1)</f>
        <v>Tarnobrzeg</v>
      </c>
      <c r="D5" s="6">
        <f>INDEX('7do 30 r.ż.'!B3:G28,MATCH(2,B4:B29,0),2)</f>
        <v>224</v>
      </c>
      <c r="E5" s="61">
        <f>INDEX('7do 30 r.ż.'!B3:G28,MATCH(2,B4:B29,0),3)</f>
        <v>218</v>
      </c>
      <c r="F5" s="6">
        <f>INDEX('7do 30 r.ż.'!B3:G28,MATCH(2,B4:B29,0),4)</f>
        <v>6</v>
      </c>
      <c r="G5" s="61">
        <f>INDEX('7do 30 r.ż.'!B3:G28,MATCH(2,B4:B29,0),5)</f>
        <v>200</v>
      </c>
      <c r="H5" s="6">
        <f>INDEX('7do 30 r.ż.'!B3:G28,MATCH(2,B4:B29,0),6)</f>
        <v>24</v>
      </c>
    </row>
    <row r="6" spans="2:8" x14ac:dyDescent="0.2">
      <c r="B6" s="6">
        <f>RANK('7do 30 r.ż.'!C5,'7do 30 r.ż.'!$C$3:'7do 30 r.ż.'!$C$28,1)+COUNTIF('7do 30 r.ż.'!$C$3:'7do 30 r.ż.'!C5,'7do 30 r.ż.'!C5)-1</f>
        <v>12</v>
      </c>
      <c r="C6" s="5" t="str">
        <f>INDEX('7do 30 r.ż.'!B3:G28,MATCH(3,B4:B29,0),1)</f>
        <v>bieszczadzki</v>
      </c>
      <c r="D6" s="6">
        <f>INDEX('7do 30 r.ż.'!B3:G28,MATCH(3,B4:B29,0),2)</f>
        <v>237</v>
      </c>
      <c r="E6" s="61">
        <f>INDEX('7do 30 r.ż.'!B3:G28,MATCH(3,B4:B29,0),3)</f>
        <v>240</v>
      </c>
      <c r="F6" s="6">
        <f>INDEX('7do 30 r.ż.'!B3:G28,MATCH(3,B4:B29,0),4)</f>
        <v>-3</v>
      </c>
      <c r="G6" s="61">
        <f>INDEX('7do 30 r.ż.'!B3:G28,MATCH(3,B4:B29,0),5)</f>
        <v>269</v>
      </c>
      <c r="H6" s="6">
        <f>INDEX('7do 30 r.ż.'!B3:G28,MATCH(3,B4:B29,0),6)</f>
        <v>-32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316</v>
      </c>
      <c r="E7" s="61">
        <f>INDEX('7do 30 r.ż.'!B3:G28,MATCH(4,B4:B29,0),3)</f>
        <v>297</v>
      </c>
      <c r="F7" s="6">
        <f>INDEX('7do 30 r.ż.'!B3:G28,MATCH(4,B4:B29,0),4)</f>
        <v>19</v>
      </c>
      <c r="G7" s="61">
        <f>INDEX('7do 30 r.ż.'!B3:G28,MATCH(4,B4:B29,0),5)</f>
        <v>318</v>
      </c>
      <c r="H7" s="6">
        <f>INDEX('7do 30 r.ż.'!B3:G28,MATCH(4,B4:B29,0),6)</f>
        <v>-2</v>
      </c>
    </row>
    <row r="8" spans="2:8" x14ac:dyDescent="0.2">
      <c r="B8" s="6">
        <f>RANK('7do 30 r.ż.'!C7,'7do 30 r.ż.'!$C$3:'7do 30 r.ż.'!$C$28,1)+COUNTIF('7do 30 r.ż.'!$C$3:'7do 30 r.ż.'!C7,'7do 30 r.ż.'!C7)-1</f>
        <v>24</v>
      </c>
      <c r="C8" s="5" t="str">
        <f>INDEX('7do 30 r.ż.'!B3:G28,MATCH(5,B4:B29,0),1)</f>
        <v>leski</v>
      </c>
      <c r="D8" s="6">
        <f>INDEX('7do 30 r.ż.'!B3:G28,MATCH(5,B4:B29,0),2)</f>
        <v>388</v>
      </c>
      <c r="E8" s="61">
        <f>INDEX('7do 30 r.ż.'!B3:G28,MATCH(5,B4:B29,0),3)</f>
        <v>378</v>
      </c>
      <c r="F8" s="6">
        <f>INDEX('7do 30 r.ż.'!B3:G28,MATCH(5,B4:B29,0),4)</f>
        <v>10</v>
      </c>
      <c r="G8" s="61">
        <f>INDEX('7do 30 r.ż.'!B3:G28,MATCH(5,B4:B29,0),5)</f>
        <v>396</v>
      </c>
      <c r="H8" s="6">
        <f>INDEX('7do 30 r.ż.'!B3:G28,MATCH(5,B4:B29,0),6)</f>
        <v>-8</v>
      </c>
    </row>
    <row r="9" spans="2:8" x14ac:dyDescent="0.2">
      <c r="B9" s="6">
        <f>RANK('7do 30 r.ż.'!C8,'7do 30 r.ż.'!$C$3:'7do 30 r.ż.'!$C$28,1)+COUNTIF('7do 30 r.ż.'!$C$3:'7do 30 r.ż.'!C8,'7do 30 r.ż.'!C8)-1</f>
        <v>7</v>
      </c>
      <c r="C9" s="5" t="str">
        <f>INDEX('7do 30 r.ż.'!B3:G28,MATCH(6,B4:B29,0),1)</f>
        <v>Przemyśl</v>
      </c>
      <c r="D9" s="6">
        <f>INDEX('7do 30 r.ż.'!B3:G28,MATCH(6,B4:B29,0),2)</f>
        <v>430</v>
      </c>
      <c r="E9" s="61">
        <f>INDEX('7do 30 r.ż.'!B3:G28,MATCH(6,B4:B29,0),3)</f>
        <v>419</v>
      </c>
      <c r="F9" s="6">
        <f>INDEX('7do 30 r.ż.'!B3:G28,MATCH(6,B4:B29,0),4)</f>
        <v>11</v>
      </c>
      <c r="G9" s="61">
        <f>INDEX('7do 30 r.ż.'!B3:G28,MATCH(6,B4:B29,0),5)</f>
        <v>371</v>
      </c>
      <c r="H9" s="6">
        <f>INDEX('7do 30 r.ż.'!B3:G28,MATCH(6,B4:B29,0),6)</f>
        <v>59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kolbuszowski</v>
      </c>
      <c r="D10" s="6">
        <f>INDEX('7do 30 r.ż.'!B3:G28,MATCH(7,B4:B29,0),2)</f>
        <v>437</v>
      </c>
      <c r="E10" s="61">
        <f>INDEX('7do 30 r.ż.'!B3:G28,MATCH(7,B4:B29,0),3)</f>
        <v>440</v>
      </c>
      <c r="F10" s="6">
        <f>INDEX('7do 30 r.ż.'!B3:G28,MATCH(7,B4:B29,0),4)</f>
        <v>-3</v>
      </c>
      <c r="G10" s="61">
        <f>INDEX('7do 30 r.ż.'!B3:G28,MATCH(7,B4:B29,0),5)</f>
        <v>441</v>
      </c>
      <c r="H10" s="6">
        <f>INDEX('7do 30 r.ż.'!B3:G28,MATCH(7,B4:B29,0),6)</f>
        <v>-4</v>
      </c>
    </row>
    <row r="11" spans="2:8" x14ac:dyDescent="0.2">
      <c r="B11" s="6">
        <f>RANK('7do 30 r.ż.'!C10,'7do 30 r.ż.'!$C$3:'7do 30 r.ż.'!$C$28,1)+COUNTIF('7do 30 r.ż.'!$C$3:'7do 30 r.ż.'!C10,'7do 30 r.ż.'!C10)-1</f>
        <v>5</v>
      </c>
      <c r="C11" s="5" t="str">
        <f>INDEX('7do 30 r.ż.'!B3:G28,MATCH(8,B4:B29,0),1)</f>
        <v>lubaczowski</v>
      </c>
      <c r="D11" s="6">
        <f>INDEX('7do 30 r.ż.'!B3:G28,MATCH(8,B4:B29,0),2)</f>
        <v>477</v>
      </c>
      <c r="E11" s="61">
        <f>INDEX('7do 30 r.ż.'!B3:G28,MATCH(8,B4:B29,0),3)</f>
        <v>439</v>
      </c>
      <c r="F11" s="6">
        <f>INDEX('7do 30 r.ż.'!B3:G28,MATCH(8,B4:B29,0),4)</f>
        <v>38</v>
      </c>
      <c r="G11" s="61">
        <f>INDEX('7do 30 r.ż.'!B3:G28,MATCH(8,B4:B29,0),5)</f>
        <v>421</v>
      </c>
      <c r="H11" s="6">
        <f>INDEX('7do 30 r.ż.'!B3:G28,MATCH(8,B4:B29,0),6)</f>
        <v>56</v>
      </c>
    </row>
    <row r="12" spans="2:8" x14ac:dyDescent="0.2">
      <c r="B12" s="6">
        <f>RANK('7do 30 r.ż.'!C11,'7do 30 r.ż.'!$C$3:'7do 30 r.ż.'!$C$28,1)+COUNTIF('7do 30 r.ż.'!$C$3:'7do 30 r.ż.'!C11,'7do 30 r.ż.'!C11)-1</f>
        <v>19</v>
      </c>
      <c r="C12" s="5" t="str">
        <f>INDEX('7do 30 r.ż.'!B3:G28,MATCH(9,B4:B29,0),1)</f>
        <v>stalowowolski</v>
      </c>
      <c r="D12" s="6">
        <f>INDEX('7do 30 r.ż.'!B3:G28,MATCH(9,B4:B29,0),2)</f>
        <v>496</v>
      </c>
      <c r="E12" s="61">
        <f>INDEX('7do 30 r.ż.'!B3:G28,MATCH(9,B4:B29,0),3)</f>
        <v>473</v>
      </c>
      <c r="F12" s="6">
        <f>INDEX('7do 30 r.ż.'!B3:G28,MATCH(9,B4:B29,0),4)</f>
        <v>23</v>
      </c>
      <c r="G12" s="61">
        <f>INDEX('7do 30 r.ż.'!B3:G28,MATCH(9,B4:B29,0),5)</f>
        <v>509</v>
      </c>
      <c r="H12" s="6">
        <f>INDEX('7do 30 r.ż.'!B3:G28,MATCH(9,B4:B29,0),6)</f>
        <v>-13</v>
      </c>
    </row>
    <row r="13" spans="2:8" x14ac:dyDescent="0.2">
      <c r="B13" s="6">
        <f>RANK('7do 30 r.ż.'!C12,'7do 30 r.ż.'!$C$3:'7do 30 r.ż.'!$C$28,1)+COUNTIF('7do 30 r.ż.'!$C$3:'7do 30 r.ż.'!C12,'7do 30 r.ż.'!C12)-1</f>
        <v>8</v>
      </c>
      <c r="C13" s="5" t="str">
        <f>INDEX('7do 30 r.ż.'!B3:G28,MATCH(10,B4:B29,0),1)</f>
        <v>krośnieński</v>
      </c>
      <c r="D13" s="6">
        <f>INDEX('7do 30 r.ż.'!B3:G28,MATCH(10,B4:B29,0),2)</f>
        <v>554</v>
      </c>
      <c r="E13" s="61">
        <f>INDEX('7do 30 r.ż.'!B3:G28,MATCH(10,B4:B29,0),3)</f>
        <v>534</v>
      </c>
      <c r="F13" s="6">
        <f>INDEX('7do 30 r.ż.'!B3:G28,MATCH(10,B4:B29,0),4)</f>
        <v>20</v>
      </c>
      <c r="G13" s="61">
        <f>INDEX('7do 30 r.ż.'!B3:G28,MATCH(10,B4:B29,0),5)</f>
        <v>417</v>
      </c>
      <c r="H13" s="6">
        <f>INDEX('7do 30 r.ż.'!B3:G28,MATCH(10,B4:B29,0),6)</f>
        <v>137</v>
      </c>
    </row>
    <row r="14" spans="2:8" x14ac:dyDescent="0.2">
      <c r="B14" s="6">
        <f>RANK('7do 30 r.ż.'!C13,'7do 30 r.ż.'!$C$3:'7do 30 r.ż.'!$C$28,1)+COUNTIF('7do 30 r.ż.'!$C$3:'7do 30 r.ż.'!C13,'7do 30 r.ż.'!C13)-1</f>
        <v>13</v>
      </c>
      <c r="C14" s="5" t="str">
        <f>INDEX('7do 30 r.ż.'!B3:G28,MATCH(11,B4:B29,0),1)</f>
        <v>sanocki</v>
      </c>
      <c r="D14" s="6">
        <f>INDEX('7do 30 r.ż.'!B3:G28,MATCH(11,B4:B29,0),2)</f>
        <v>689</v>
      </c>
      <c r="E14" s="61">
        <f>INDEX('7do 30 r.ż.'!B3:G28,MATCH(11,B4:B29,0),3)</f>
        <v>679</v>
      </c>
      <c r="F14" s="6">
        <f>INDEX('7do 30 r.ż.'!B3:G28,MATCH(11,B4:B29,0),4)</f>
        <v>10</v>
      </c>
      <c r="G14" s="61">
        <f>INDEX('7do 30 r.ż.'!B3:G28,MATCH(11,B4:B29,0),5)</f>
        <v>677</v>
      </c>
      <c r="H14" s="6">
        <f>INDEX('7do 30 r.ż.'!B3:G28,MATCH(11,B4:B29,0),6)</f>
        <v>12</v>
      </c>
    </row>
    <row r="15" spans="2:8" x14ac:dyDescent="0.2">
      <c r="B15" s="6">
        <f>RANK('7do 30 r.ż.'!C14,'7do 30 r.ż.'!$C$3:'7do 30 r.ż.'!$C$28,1)+COUNTIF('7do 30 r.ż.'!$C$3:'7do 30 r.ż.'!C14,'7do 30 r.ż.'!C14)-1</f>
        <v>16</v>
      </c>
      <c r="C15" s="5" t="str">
        <f>INDEX('7do 30 r.ż.'!B3:G28,MATCH(12,B4:B29,0),1)</f>
        <v>dębicki</v>
      </c>
      <c r="D15" s="6">
        <f>INDEX('7do 30 r.ż.'!B3:G28,MATCH(12,B4:B29,0),2)</f>
        <v>696</v>
      </c>
      <c r="E15" s="61">
        <f>INDEX('7do 30 r.ż.'!B3:G28,MATCH(12,B4:B29,0),3)</f>
        <v>659</v>
      </c>
      <c r="F15" s="6">
        <f>INDEX('7do 30 r.ż.'!B3:G28,MATCH(12,B4:B29,0),4)</f>
        <v>37</v>
      </c>
      <c r="G15" s="61">
        <f>INDEX('7do 30 r.ż.'!B3:G28,MATCH(12,B4:B29,0),5)</f>
        <v>673</v>
      </c>
      <c r="H15" s="6">
        <f>INDEX('7do 30 r.ż.'!B3:G28,MATCH(12,B4:B29,0),6)</f>
        <v>23</v>
      </c>
    </row>
    <row r="16" spans="2:8" x14ac:dyDescent="0.2">
      <c r="B16" s="6">
        <f>RANK('7do 30 r.ż.'!C15,'7do 30 r.ż.'!$C$3:'7do 30 r.ż.'!$C$28,1)+COUNTIF('7do 30 r.ż.'!$C$3:'7do 30 r.ż.'!C15,'7do 30 r.ż.'!C15)-1</f>
        <v>17</v>
      </c>
      <c r="C16" s="5" t="str">
        <f>INDEX('7do 30 r.ż.'!B3:G28,MATCH(13,B4:B29,0),1)</f>
        <v>łańcucki</v>
      </c>
      <c r="D16" s="6">
        <f>INDEX('7do 30 r.ż.'!B3:G28,MATCH(13,B4:B29,0),2)</f>
        <v>707</v>
      </c>
      <c r="E16" s="61">
        <f>INDEX('7do 30 r.ż.'!B3:G28,MATCH(13,B4:B29,0),3)</f>
        <v>699</v>
      </c>
      <c r="F16" s="6">
        <f>INDEX('7do 30 r.ż.'!B3:G28,MATCH(13,B4:B29,0),4)</f>
        <v>8</v>
      </c>
      <c r="G16" s="61">
        <f>INDEX('7do 30 r.ż.'!B3:G28,MATCH(13,B4:B29,0),5)</f>
        <v>784</v>
      </c>
      <c r="H16" s="6">
        <f>INDEX('7do 30 r.ż.'!B3:G28,MATCH(13,B4:B29,0),6)</f>
        <v>-77</v>
      </c>
    </row>
    <row r="17" spans="2:8" x14ac:dyDescent="0.2">
      <c r="B17" s="6">
        <f>RANK('7do 30 r.ż.'!C16,'7do 30 r.ż.'!$C$3:'7do 30 r.ż.'!$C$28,1)+COUNTIF('7do 30 r.ż.'!$C$3:'7do 30 r.ż.'!C16,'7do 30 r.ż.'!C16)-1</f>
        <v>14</v>
      </c>
      <c r="C17" s="5" t="str">
        <f>INDEX('7do 30 r.ż.'!B3:G28,MATCH(14,B4:B29,0),1)</f>
        <v>przemyski</v>
      </c>
      <c r="D17" s="6">
        <f>INDEX('7do 30 r.ż.'!B3:G28,MATCH(14,B4:B29,0),2)</f>
        <v>713</v>
      </c>
      <c r="E17" s="61">
        <f>INDEX('7do 30 r.ż.'!B3:G28,MATCH(14,B4:B29,0),3)</f>
        <v>701</v>
      </c>
      <c r="F17" s="6">
        <f>INDEX('7do 30 r.ż.'!B3:G28,MATCH(14,B4:B29,0),4)</f>
        <v>12</v>
      </c>
      <c r="G17" s="61">
        <f>INDEX('7do 30 r.ż.'!B3:G28,MATCH(14,B4:B29,0),5)</f>
        <v>731</v>
      </c>
      <c r="H17" s="6">
        <f>INDEX('7do 30 r.ż.'!B3:G28,MATCH(14,B4:B29,0),6)</f>
        <v>-18</v>
      </c>
    </row>
    <row r="18" spans="2:8" x14ac:dyDescent="0.2">
      <c r="B18" s="6">
        <f>RANK('7do 30 r.ż.'!C17,'7do 30 r.ż.'!$C$3:'7do 30 r.ż.'!$C$28,1)+COUNTIF('7do 30 r.ż.'!$C$3:'7do 30 r.ż.'!C17,'7do 30 r.ż.'!C17)-1</f>
        <v>20</v>
      </c>
      <c r="C18" s="5" t="str">
        <f>INDEX('7do 30 r.ż.'!B3:G28,MATCH(15,B4:B29,0),1)</f>
        <v>ropczycko-sędziszowski</v>
      </c>
      <c r="D18" s="6">
        <f>INDEX('7do 30 r.ż.'!B3:G28,MATCH(15,B4:B29,0),2)</f>
        <v>757</v>
      </c>
      <c r="E18" s="61">
        <f>INDEX('7do 30 r.ż.'!B3:G28,MATCH(15,B4:B29,0),3)</f>
        <v>761</v>
      </c>
      <c r="F18" s="6">
        <f>INDEX('7do 30 r.ż.'!B3:G28,MATCH(15,B4:B29,0),4)</f>
        <v>-4</v>
      </c>
      <c r="G18" s="61">
        <f>INDEX('7do 30 r.ż.'!B3:G28,MATCH(15,B4:B29,0),5)</f>
        <v>844</v>
      </c>
      <c r="H18" s="6">
        <f>INDEX('7do 30 r.ż.'!B3:G28,MATCH(15,B4:B29,0),6)</f>
        <v>-87</v>
      </c>
    </row>
    <row r="19" spans="2:8" x14ac:dyDescent="0.2">
      <c r="B19" s="6">
        <f>RANK('7do 30 r.ż.'!C18,'7do 30 r.ż.'!$C$3:'7do 30 r.ż.'!$C$28,1)+COUNTIF('7do 30 r.ż.'!$C$3:'7do 30 r.ż.'!C18,'7do 30 r.ż.'!C18)-1</f>
        <v>15</v>
      </c>
      <c r="C19" s="5" t="str">
        <f>INDEX('7do 30 r.ż.'!B3:G28,MATCH(16,B4:B29,0),1)</f>
        <v>mielecki</v>
      </c>
      <c r="D19" s="6">
        <f>INDEX('7do 30 r.ż.'!B3:G28,MATCH(16,B4:B29,0),2)</f>
        <v>776</v>
      </c>
      <c r="E19" s="61">
        <f>INDEX('7do 30 r.ż.'!B3:G28,MATCH(16,B4:B29,0),3)</f>
        <v>735</v>
      </c>
      <c r="F19" s="6">
        <f>INDEX('7do 30 r.ż.'!B3:G28,MATCH(16,B4:B29,0),4)</f>
        <v>41</v>
      </c>
      <c r="G19" s="61">
        <f>INDEX('7do 30 r.ż.'!B3:G28,MATCH(16,B4:B29,0),5)</f>
        <v>647</v>
      </c>
      <c r="H19" s="6">
        <f>INDEX('7do 30 r.ż.'!B3:G28,MATCH(16,B4:B29,0),6)</f>
        <v>129</v>
      </c>
    </row>
    <row r="20" spans="2:8" x14ac:dyDescent="0.2">
      <c r="B20" s="6">
        <f>RANK('7do 30 r.ż.'!C19,'7do 30 r.ż.'!$C$3:'7do 30 r.ż.'!$C$28,1)+COUNTIF('7do 30 r.ż.'!$C$3:'7do 30 r.ż.'!C19,'7do 30 r.ż.'!C19)-1</f>
        <v>25</v>
      </c>
      <c r="C20" s="5" t="str">
        <f>INDEX('7do 30 r.ż.'!B3:G28,MATCH(17,B4:B29,0),1)</f>
        <v>niżański</v>
      </c>
      <c r="D20" s="6">
        <f>INDEX('7do 30 r.ż.'!B3:G28,MATCH(17,B4:B29,0),2)</f>
        <v>798</v>
      </c>
      <c r="E20" s="61">
        <f>INDEX('7do 30 r.ż.'!B3:G28,MATCH(17,B4:B29,0),3)</f>
        <v>784</v>
      </c>
      <c r="F20" s="6">
        <f>INDEX('7do 30 r.ż.'!B3:G28,MATCH(17,B4:B29,0),4)</f>
        <v>14</v>
      </c>
      <c r="G20" s="61">
        <f>INDEX('7do 30 r.ż.'!B3:G28,MATCH(17,B4:B29,0),5)</f>
        <v>770</v>
      </c>
      <c r="H20" s="6">
        <f>INDEX('7do 30 r.ż.'!B3:G28,MATCH(17,B4:B29,0),6)</f>
        <v>28</v>
      </c>
    </row>
    <row r="21" spans="2:8" x14ac:dyDescent="0.2">
      <c r="B21" s="6">
        <f>RANK('7do 30 r.ż.'!C20,'7do 30 r.ż.'!$C$3:'7do 30 r.ż.'!$C$28,1)+COUNTIF('7do 30 r.ż.'!$C$3:'7do 30 r.ż.'!C20,'7do 30 r.ż.'!C20)-1</f>
        <v>11</v>
      </c>
      <c r="C21" s="5" t="str">
        <f>INDEX('7do 30 r.ż.'!B3:G28,MATCH(18,B4:B29,0),1)</f>
        <v>strzyżowski</v>
      </c>
      <c r="D21" s="6">
        <f>INDEX('7do 30 r.ż.'!B3:G28,MATCH(18,B4:B29,0),2)</f>
        <v>802</v>
      </c>
      <c r="E21" s="61">
        <f>INDEX('7do 30 r.ż.'!B3:G28,MATCH(18,B4:B29,0),3)</f>
        <v>765</v>
      </c>
      <c r="F21" s="6">
        <f>INDEX('7do 30 r.ż.'!B3:G28,MATCH(18,B4:B29,0),4)</f>
        <v>37</v>
      </c>
      <c r="G21" s="61">
        <f>INDEX('7do 30 r.ż.'!B3:G28,MATCH(18,B4:B29,0),5)</f>
        <v>897</v>
      </c>
      <c r="H21" s="6">
        <f>INDEX('7do 30 r.ż.'!B3:G28,MATCH(18,B4:B29,0),6)</f>
        <v>-95</v>
      </c>
    </row>
    <row r="22" spans="2:8" x14ac:dyDescent="0.2">
      <c r="B22" s="6">
        <f>RANK('7do 30 r.ż.'!C21,'7do 30 r.ż.'!$C$3:'7do 30 r.ż.'!$C$28,1)+COUNTIF('7do 30 r.ż.'!$C$3:'7do 30 r.ż.'!C21,'7do 30 r.ż.'!C21)-1</f>
        <v>9</v>
      </c>
      <c r="C22" s="5" t="str">
        <f>INDEX('7do 30 r.ż.'!B3:G28,MATCH(19,B4:B29,0),1)</f>
        <v>leżajski</v>
      </c>
      <c r="D22" s="6">
        <f>INDEX('7do 30 r.ż.'!B3:G28,MATCH(19,B4:B29,0),2)</f>
        <v>809</v>
      </c>
      <c r="E22" s="61">
        <f>INDEX('7do 30 r.ż.'!B3:G28,MATCH(19,B4:B29,0),3)</f>
        <v>816</v>
      </c>
      <c r="F22" s="6">
        <f>INDEX('7do 30 r.ż.'!B3:G28,MATCH(19,B4:B29,0),4)</f>
        <v>-7</v>
      </c>
      <c r="G22" s="61">
        <f>INDEX('7do 30 r.ż.'!B3:G28,MATCH(19,B4:B29,0),5)</f>
        <v>882</v>
      </c>
      <c r="H22" s="6">
        <f>INDEX('7do 30 r.ż.'!B3:G28,MATCH(19,B4:B29,0),6)</f>
        <v>-73</v>
      </c>
    </row>
    <row r="23" spans="2:8" x14ac:dyDescent="0.2">
      <c r="B23" s="6">
        <f>RANK('7do 30 r.ż.'!C22,'7do 30 r.ż.'!$C$3:'7do 30 r.ż.'!$C$28,1)+COUNTIF('7do 30 r.ż.'!$C$3:'7do 30 r.ż.'!C22,'7do 30 r.ż.'!C22)-1</f>
        <v>18</v>
      </c>
      <c r="C23" s="5" t="str">
        <f>INDEX('7do 30 r.ż.'!B3:G28,MATCH(20,B4:B29,0),1)</f>
        <v>przeworski</v>
      </c>
      <c r="D23" s="6">
        <f>INDEX('7do 30 r.ż.'!B3:G28,MATCH(20,B4:B29,0),2)</f>
        <v>902</v>
      </c>
      <c r="E23" s="61">
        <f>INDEX('7do 30 r.ż.'!B3:G28,MATCH(20,B4:B29,0),3)</f>
        <v>903</v>
      </c>
      <c r="F23" s="6">
        <f>INDEX('7do 30 r.ż.'!B3:G28,MATCH(20,B4:B29,0),4)</f>
        <v>-1</v>
      </c>
      <c r="G23" s="61">
        <f>INDEX('7do 30 r.ż.'!B3:G28,MATCH(20,B4:B29,0),5)</f>
        <v>1033</v>
      </c>
      <c r="H23" s="6">
        <f>INDEX('7do 30 r.ż.'!B3:G28,MATCH(20,B4:B29,0),6)</f>
        <v>-131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brzozowski</v>
      </c>
      <c r="D24" s="6">
        <f>INDEX('7do 30 r.ż.'!B3:G28,MATCH(21,B4:B29,0),2)</f>
        <v>949</v>
      </c>
      <c r="E24" s="61">
        <f>INDEX('7do 30 r.ż.'!B3:G28,MATCH(21,B4:B29,0),3)</f>
        <v>909</v>
      </c>
      <c r="F24" s="6">
        <f>INDEX('7do 30 r.ż.'!B3:G28,MATCH(21,B4:B29,0),4)</f>
        <v>40</v>
      </c>
      <c r="G24" s="61">
        <f>INDEX('7do 30 r.ż.'!B3:G28,MATCH(21,B4:B29,0),5)</f>
        <v>965</v>
      </c>
      <c r="H24" s="6">
        <f>INDEX('7do 30 r.ż.'!B3:G28,MATCH(21,B4:B29,0),6)</f>
        <v>-16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Rzeszów</v>
      </c>
      <c r="D25" s="6">
        <f>INDEX('7do 30 r.ż.'!B3:G28,MATCH(22,B4:B29,0),2)</f>
        <v>963</v>
      </c>
      <c r="E25" s="61">
        <f>INDEX('7do 30 r.ż.'!B3:G28,MATCH(22,B4:B29,0),3)</f>
        <v>969</v>
      </c>
      <c r="F25" s="6">
        <f>INDEX('7do 30 r.ż.'!B3:G28,MATCH(22,B4:B29,0),4)</f>
        <v>-6</v>
      </c>
      <c r="G25" s="61">
        <f>INDEX('7do 30 r.ż.'!B3:G28,MATCH(22,B4:B29,0),5)</f>
        <v>1025</v>
      </c>
      <c r="H25" s="6">
        <f>INDEX('7do 30 r.ż.'!B3:G28,MATCH(22,B4:B29,0),6)</f>
        <v>-62</v>
      </c>
    </row>
    <row r="26" spans="2:8" x14ac:dyDescent="0.2">
      <c r="B26" s="6">
        <f>RANK('7do 30 r.ż.'!C25,'7do 30 r.ż.'!$C$3:'7do 30 r.ż.'!$C$28,1)+COUNTIF('7do 30 r.ż.'!$C$3:'7do 30 r.ż.'!C25,'7do 30 r.ż.'!C25)-1</f>
        <v>6</v>
      </c>
      <c r="C26" s="5" t="str">
        <f>INDEX('7do 30 r.ż.'!B3:G28,MATCH(23,B4:B29,0),1)</f>
        <v>jarosławski</v>
      </c>
      <c r="D26" s="6">
        <f>INDEX('7do 30 r.ż.'!B3:G28,MATCH(23,B4:B29,0),2)</f>
        <v>1063</v>
      </c>
      <c r="E26" s="61">
        <f>INDEX('7do 30 r.ż.'!B3:G28,MATCH(23,B4:B29,0),3)</f>
        <v>1062</v>
      </c>
      <c r="F26" s="6">
        <f>INDEX('7do 30 r.ż.'!B3:G28,MATCH(23,B4:B29,0),4)</f>
        <v>1</v>
      </c>
      <c r="G26" s="61">
        <f>INDEX('7do 30 r.ż.'!B3:G28,MATCH(23,B4:B29,0),5)</f>
        <v>1174</v>
      </c>
      <c r="H26" s="6">
        <f>INDEX('7do 30 r.ż.'!B3:G28,MATCH(23,B4:B29,0),6)</f>
        <v>-111</v>
      </c>
    </row>
    <row r="27" spans="2:8" x14ac:dyDescent="0.2">
      <c r="B27" s="6">
        <f>RANK('7do 30 r.ż.'!C26,'7do 30 r.ż.'!$C$3:'7do 30 r.ż.'!$C$28,1)+COUNTIF('7do 30 r.ż.'!$C$3:'7do 30 r.ż.'!C26,'7do 30 r.ż.'!C26)-1</f>
        <v>22</v>
      </c>
      <c r="C27" s="5" t="str">
        <f>INDEX('7do 30 r.ż.'!B3:G28,MATCH(24,B4:B29,0),1)</f>
        <v>jasielski</v>
      </c>
      <c r="D27" s="6">
        <f>INDEX('7do 30 r.ż.'!B3:G28,MATCH(24,B4:B29,0),2)</f>
        <v>1193</v>
      </c>
      <c r="E27" s="61">
        <f>INDEX('7do 30 r.ż.'!B3:G28,MATCH(24,B4:B29,0),3)</f>
        <v>1140</v>
      </c>
      <c r="F27" s="6">
        <f>INDEX('7do 30 r.ż.'!B3:G28,MATCH(24,B4:B29,0),4)</f>
        <v>53</v>
      </c>
      <c r="G27" s="61">
        <f>INDEX('7do 30 r.ż.'!B3:G28,MATCH(24,B4:B29,0),5)</f>
        <v>1040</v>
      </c>
      <c r="H27" s="6">
        <f>INDEX('7do 30 r.ż.'!B3:G28,MATCH(24,B4:B29,0),6)</f>
        <v>153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rzeszowski</v>
      </c>
      <c r="D28" s="6">
        <f>INDEX('7do 30 r.ż.'!B3:G28,MATCH(25,B4:B29,0),2)</f>
        <v>1217</v>
      </c>
      <c r="E28" s="61">
        <f>INDEX('7do 30 r.ż.'!B3:G28,MATCH(25,B4:B29,0),3)</f>
        <v>1189</v>
      </c>
      <c r="F28" s="6">
        <f>INDEX('7do 30 r.ż.'!B3:G28,MATCH(25,B4:B29,0),4)</f>
        <v>28</v>
      </c>
      <c r="G28" s="61">
        <f>INDEX('7do 30 r.ż.'!B3:G28,MATCH(25,B4:B29,0),5)</f>
        <v>1297</v>
      </c>
      <c r="H28" s="6">
        <f>INDEX('7do 30 r.ż.'!B3:G28,MATCH(25,B4:B29,0),6)</f>
        <v>-80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16739</v>
      </c>
      <c r="E29" s="63">
        <f>INDEX('7do 30 r.ż.'!B3:G28,MATCH(26,B4:B29,0),3)</f>
        <v>16328</v>
      </c>
      <c r="F29" s="59">
        <f>INDEX('7do 30 r.ż.'!B3:G28,MATCH(26,B4:B29,0),4)</f>
        <v>411</v>
      </c>
      <c r="G29" s="63">
        <f>INDEX('7do 30 r.ż.'!B3:G28,MATCH(26,B4:B29,0),5)</f>
        <v>16897</v>
      </c>
      <c r="H29" s="59">
        <f>INDEX('7do 30 r.ż.'!B3:G28,MATCH(26,B4:B29,0),6)</f>
        <v>-158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28515625" style="3" customWidth="1"/>
    <col min="3" max="3" width="14.7109375" style="3" customWidth="1"/>
    <col min="4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6384" width="9.140625" style="3"/>
  </cols>
  <sheetData>
    <row r="1" spans="2:8" ht="17.25" customHeight="1" x14ac:dyDescent="0.2">
      <c r="B1" s="1" t="s">
        <v>84</v>
      </c>
      <c r="C1" s="46"/>
      <c r="D1" s="46"/>
      <c r="E1" s="46"/>
      <c r="F1" s="46"/>
      <c r="G1" s="46"/>
    </row>
    <row r="2" spans="2:8" ht="57.75" x14ac:dyDescent="0.2">
      <c r="B2" s="55" t="s">
        <v>27</v>
      </c>
      <c r="C2" s="56" t="s">
        <v>141</v>
      </c>
      <c r="D2" s="57" t="s">
        <v>125</v>
      </c>
      <c r="E2" s="56" t="s">
        <v>28</v>
      </c>
      <c r="F2" s="57" t="s">
        <v>142</v>
      </c>
      <c r="G2" s="56" t="s">
        <v>26</v>
      </c>
    </row>
    <row r="3" spans="2:8" x14ac:dyDescent="0.2">
      <c r="B3" s="5" t="s">
        <v>0</v>
      </c>
      <c r="C3" s="45">
        <v>243</v>
      </c>
      <c r="D3" s="61">
        <v>249</v>
      </c>
      <c r="E3" s="45">
        <f t="shared" ref="E3:E27" si="0">SUM(C3)-D3</f>
        <v>-6</v>
      </c>
      <c r="F3" s="61">
        <v>248</v>
      </c>
      <c r="G3" s="45">
        <f t="shared" ref="G3:G27" si="1">SUM(C3)-F3</f>
        <v>-5</v>
      </c>
      <c r="H3" s="7"/>
    </row>
    <row r="4" spans="2:8" x14ac:dyDescent="0.2">
      <c r="B4" s="5" t="s">
        <v>1</v>
      </c>
      <c r="C4" s="45">
        <v>910</v>
      </c>
      <c r="D4" s="61">
        <v>918</v>
      </c>
      <c r="E4" s="45">
        <f t="shared" si="0"/>
        <v>-8</v>
      </c>
      <c r="F4" s="61">
        <v>995</v>
      </c>
      <c r="G4" s="45">
        <f t="shared" si="1"/>
        <v>-85</v>
      </c>
      <c r="H4" s="7"/>
    </row>
    <row r="5" spans="2:8" x14ac:dyDescent="0.2">
      <c r="B5" s="5" t="s">
        <v>2</v>
      </c>
      <c r="C5" s="45">
        <v>542</v>
      </c>
      <c r="D5" s="61">
        <v>567</v>
      </c>
      <c r="E5" s="45">
        <f t="shared" si="0"/>
        <v>-25</v>
      </c>
      <c r="F5" s="61">
        <v>543</v>
      </c>
      <c r="G5" s="45">
        <f t="shared" si="1"/>
        <v>-1</v>
      </c>
      <c r="H5" s="7"/>
    </row>
    <row r="6" spans="2:8" x14ac:dyDescent="0.2">
      <c r="B6" s="5" t="s">
        <v>3</v>
      </c>
      <c r="C6" s="45">
        <v>1033</v>
      </c>
      <c r="D6" s="61">
        <v>1066</v>
      </c>
      <c r="E6" s="45">
        <f t="shared" si="0"/>
        <v>-33</v>
      </c>
      <c r="F6" s="61">
        <v>1112</v>
      </c>
      <c r="G6" s="45">
        <f t="shared" si="1"/>
        <v>-79</v>
      </c>
      <c r="H6" s="7"/>
    </row>
    <row r="7" spans="2:8" x14ac:dyDescent="0.2">
      <c r="B7" s="5" t="s">
        <v>4</v>
      </c>
      <c r="C7" s="45">
        <v>1119</v>
      </c>
      <c r="D7" s="61">
        <v>1097</v>
      </c>
      <c r="E7" s="45">
        <f t="shared" si="0"/>
        <v>22</v>
      </c>
      <c r="F7" s="61">
        <v>1113</v>
      </c>
      <c r="G7" s="45">
        <f t="shared" si="1"/>
        <v>6</v>
      </c>
      <c r="H7" s="7"/>
    </row>
    <row r="8" spans="2:8" x14ac:dyDescent="0.2">
      <c r="B8" s="5" t="s">
        <v>5</v>
      </c>
      <c r="C8" s="45">
        <v>388</v>
      </c>
      <c r="D8" s="61">
        <v>394</v>
      </c>
      <c r="E8" s="45">
        <f t="shared" si="0"/>
        <v>-6</v>
      </c>
      <c r="F8" s="61">
        <v>432</v>
      </c>
      <c r="G8" s="45">
        <f t="shared" si="1"/>
        <v>-44</v>
      </c>
      <c r="H8" s="7"/>
    </row>
    <row r="9" spans="2:8" x14ac:dyDescent="0.2">
      <c r="B9" s="9" t="s">
        <v>6</v>
      </c>
      <c r="C9" s="45">
        <v>555</v>
      </c>
      <c r="D9" s="61">
        <v>549</v>
      </c>
      <c r="E9" s="45">
        <f t="shared" si="0"/>
        <v>6</v>
      </c>
      <c r="F9" s="61">
        <v>529</v>
      </c>
      <c r="G9" s="45">
        <f t="shared" si="1"/>
        <v>26</v>
      </c>
      <c r="H9" s="7"/>
    </row>
    <row r="10" spans="2:8" x14ac:dyDescent="0.2">
      <c r="B10" s="5" t="s">
        <v>7</v>
      </c>
      <c r="C10" s="45">
        <v>377</v>
      </c>
      <c r="D10" s="61">
        <v>381</v>
      </c>
      <c r="E10" s="45">
        <f t="shared" si="0"/>
        <v>-4</v>
      </c>
      <c r="F10" s="61">
        <v>383</v>
      </c>
      <c r="G10" s="45">
        <f t="shared" si="1"/>
        <v>-6</v>
      </c>
      <c r="H10" s="7"/>
    </row>
    <row r="11" spans="2:8" x14ac:dyDescent="0.2">
      <c r="B11" s="5" t="s">
        <v>8</v>
      </c>
      <c r="C11" s="45">
        <v>674</v>
      </c>
      <c r="D11" s="61">
        <v>684</v>
      </c>
      <c r="E11" s="45">
        <f t="shared" si="0"/>
        <v>-10</v>
      </c>
      <c r="F11" s="61">
        <v>712</v>
      </c>
      <c r="G11" s="45">
        <f t="shared" si="1"/>
        <v>-38</v>
      </c>
      <c r="H11" s="7"/>
    </row>
    <row r="12" spans="2:8" x14ac:dyDescent="0.2">
      <c r="B12" s="5" t="s">
        <v>9</v>
      </c>
      <c r="C12" s="45">
        <v>457</v>
      </c>
      <c r="D12" s="61">
        <v>462</v>
      </c>
      <c r="E12" s="45">
        <f t="shared" si="0"/>
        <v>-5</v>
      </c>
      <c r="F12" s="61">
        <v>448</v>
      </c>
      <c r="G12" s="45">
        <f t="shared" si="1"/>
        <v>9</v>
      </c>
      <c r="H12" s="7"/>
    </row>
    <row r="13" spans="2:8" x14ac:dyDescent="0.2">
      <c r="B13" s="5" t="s">
        <v>10</v>
      </c>
      <c r="C13" s="45">
        <v>581</v>
      </c>
      <c r="D13" s="61">
        <v>579</v>
      </c>
      <c r="E13" s="45">
        <f t="shared" si="0"/>
        <v>2</v>
      </c>
      <c r="F13" s="61">
        <v>659</v>
      </c>
      <c r="G13" s="45">
        <f t="shared" si="1"/>
        <v>-78</v>
      </c>
      <c r="H13" s="7"/>
    </row>
    <row r="14" spans="2:8" x14ac:dyDescent="0.2">
      <c r="B14" s="5" t="s">
        <v>11</v>
      </c>
      <c r="C14" s="45">
        <v>735</v>
      </c>
      <c r="D14" s="61">
        <v>731</v>
      </c>
      <c r="E14" s="45">
        <f t="shared" si="0"/>
        <v>4</v>
      </c>
      <c r="F14" s="61">
        <v>699</v>
      </c>
      <c r="G14" s="45">
        <f t="shared" si="1"/>
        <v>36</v>
      </c>
      <c r="H14" s="7"/>
    </row>
    <row r="15" spans="2:8" x14ac:dyDescent="0.2">
      <c r="B15" s="5" t="s">
        <v>12</v>
      </c>
      <c r="C15" s="45">
        <v>737</v>
      </c>
      <c r="D15" s="61">
        <v>738</v>
      </c>
      <c r="E15" s="45">
        <f t="shared" si="0"/>
        <v>-1</v>
      </c>
      <c r="F15" s="61">
        <v>780</v>
      </c>
      <c r="G15" s="45">
        <f t="shared" si="1"/>
        <v>-43</v>
      </c>
      <c r="H15" s="7"/>
    </row>
    <row r="16" spans="2:8" x14ac:dyDescent="0.2">
      <c r="B16" s="5" t="s">
        <v>13</v>
      </c>
      <c r="C16" s="45">
        <v>675</v>
      </c>
      <c r="D16" s="61">
        <v>679</v>
      </c>
      <c r="E16" s="45">
        <f t="shared" si="0"/>
        <v>-4</v>
      </c>
      <c r="F16" s="61">
        <v>703</v>
      </c>
      <c r="G16" s="45">
        <f t="shared" si="1"/>
        <v>-28</v>
      </c>
      <c r="H16" s="7"/>
    </row>
    <row r="17" spans="2:8" x14ac:dyDescent="0.2">
      <c r="B17" s="5" t="s">
        <v>14</v>
      </c>
      <c r="C17" s="45">
        <v>681</v>
      </c>
      <c r="D17" s="61">
        <v>669</v>
      </c>
      <c r="E17" s="45">
        <f t="shared" si="0"/>
        <v>12</v>
      </c>
      <c r="F17" s="61">
        <v>700</v>
      </c>
      <c r="G17" s="45">
        <f t="shared" si="1"/>
        <v>-19</v>
      </c>
      <c r="H17" s="7"/>
    </row>
    <row r="18" spans="2:8" x14ac:dyDescent="0.2">
      <c r="B18" s="5" t="s">
        <v>15</v>
      </c>
      <c r="C18" s="45">
        <v>605</v>
      </c>
      <c r="D18" s="61">
        <v>572</v>
      </c>
      <c r="E18" s="45">
        <f t="shared" si="0"/>
        <v>33</v>
      </c>
      <c r="F18" s="61">
        <v>643</v>
      </c>
      <c r="G18" s="45">
        <f t="shared" si="1"/>
        <v>-38</v>
      </c>
      <c r="H18" s="7"/>
    </row>
    <row r="19" spans="2:8" x14ac:dyDescent="0.2">
      <c r="B19" s="5" t="s">
        <v>16</v>
      </c>
      <c r="C19" s="45">
        <v>1109</v>
      </c>
      <c r="D19" s="61">
        <v>1125</v>
      </c>
      <c r="E19" s="45">
        <f t="shared" si="0"/>
        <v>-16</v>
      </c>
      <c r="F19" s="61">
        <v>1195</v>
      </c>
      <c r="G19" s="45">
        <f t="shared" si="1"/>
        <v>-86</v>
      </c>
      <c r="H19" s="7"/>
    </row>
    <row r="20" spans="2:8" x14ac:dyDescent="0.2">
      <c r="B20" s="5" t="s">
        <v>17</v>
      </c>
      <c r="C20" s="45">
        <v>619</v>
      </c>
      <c r="D20" s="61">
        <v>621</v>
      </c>
      <c r="E20" s="45">
        <f t="shared" si="0"/>
        <v>-2</v>
      </c>
      <c r="F20" s="61">
        <v>589</v>
      </c>
      <c r="G20" s="45">
        <f t="shared" si="1"/>
        <v>30</v>
      </c>
      <c r="H20" s="7"/>
    </row>
    <row r="21" spans="2:8" x14ac:dyDescent="0.2">
      <c r="B21" s="5" t="s">
        <v>18</v>
      </c>
      <c r="C21" s="45">
        <v>503</v>
      </c>
      <c r="D21" s="61">
        <v>501</v>
      </c>
      <c r="E21" s="45">
        <f t="shared" si="0"/>
        <v>2</v>
      </c>
      <c r="F21" s="61">
        <v>547</v>
      </c>
      <c r="G21" s="45">
        <f t="shared" si="1"/>
        <v>-44</v>
      </c>
      <c r="H21" s="7"/>
    </row>
    <row r="22" spans="2:8" x14ac:dyDescent="0.2">
      <c r="B22" s="5" t="s">
        <v>19</v>
      </c>
      <c r="C22" s="45">
        <v>700</v>
      </c>
      <c r="D22" s="61">
        <v>720</v>
      </c>
      <c r="E22" s="45">
        <f t="shared" si="0"/>
        <v>-20</v>
      </c>
      <c r="F22" s="61">
        <v>753</v>
      </c>
      <c r="G22" s="45">
        <f t="shared" si="1"/>
        <v>-53</v>
      </c>
      <c r="H22" s="7"/>
    </row>
    <row r="23" spans="2:8" x14ac:dyDescent="0.2">
      <c r="B23" s="5" t="s">
        <v>20</v>
      </c>
      <c r="C23" s="45">
        <v>351</v>
      </c>
      <c r="D23" s="61">
        <v>351</v>
      </c>
      <c r="E23" s="45">
        <f t="shared" si="0"/>
        <v>0</v>
      </c>
      <c r="F23" s="61">
        <v>348</v>
      </c>
      <c r="G23" s="45">
        <f t="shared" si="1"/>
        <v>3</v>
      </c>
      <c r="H23" s="7"/>
    </row>
    <row r="24" spans="2:8" x14ac:dyDescent="0.2">
      <c r="B24" s="5" t="s">
        <v>21</v>
      </c>
      <c r="C24" s="45">
        <v>173</v>
      </c>
      <c r="D24" s="61">
        <v>162</v>
      </c>
      <c r="E24" s="45">
        <f t="shared" si="0"/>
        <v>11</v>
      </c>
      <c r="F24" s="61">
        <v>173</v>
      </c>
      <c r="G24" s="45">
        <f t="shared" si="1"/>
        <v>0</v>
      </c>
      <c r="H24" s="7"/>
    </row>
    <row r="25" spans="2:8" x14ac:dyDescent="0.2">
      <c r="B25" s="5" t="s">
        <v>22</v>
      </c>
      <c r="C25" s="45">
        <v>675</v>
      </c>
      <c r="D25" s="61">
        <v>701</v>
      </c>
      <c r="E25" s="45">
        <f t="shared" si="0"/>
        <v>-26</v>
      </c>
      <c r="F25" s="61">
        <v>723</v>
      </c>
      <c r="G25" s="45">
        <f t="shared" si="1"/>
        <v>-48</v>
      </c>
      <c r="H25" s="7"/>
    </row>
    <row r="26" spans="2:8" x14ac:dyDescent="0.2">
      <c r="B26" s="5" t="s">
        <v>23</v>
      </c>
      <c r="C26" s="45">
        <v>1380</v>
      </c>
      <c r="D26" s="61">
        <v>1399</v>
      </c>
      <c r="E26" s="45">
        <f t="shared" si="0"/>
        <v>-19</v>
      </c>
      <c r="F26" s="61">
        <v>1552</v>
      </c>
      <c r="G26" s="45">
        <f t="shared" si="1"/>
        <v>-172</v>
      </c>
      <c r="H26" s="7"/>
    </row>
    <row r="27" spans="2:8" x14ac:dyDescent="0.2">
      <c r="B27" s="5" t="s">
        <v>24</v>
      </c>
      <c r="C27" s="45">
        <v>292</v>
      </c>
      <c r="D27" s="61">
        <v>294</v>
      </c>
      <c r="E27" s="45">
        <f t="shared" si="0"/>
        <v>-2</v>
      </c>
      <c r="F27" s="61">
        <v>338</v>
      </c>
      <c r="G27" s="45">
        <f t="shared" si="1"/>
        <v>-46</v>
      </c>
      <c r="H27" s="7"/>
    </row>
    <row r="28" spans="2:8" ht="15" x14ac:dyDescent="0.25">
      <c r="B28" s="58" t="s">
        <v>25</v>
      </c>
      <c r="C28" s="78">
        <f>SUM(C3:C27)</f>
        <v>16114</v>
      </c>
      <c r="D28" s="63">
        <f>SUM(D3:D27)</f>
        <v>16209</v>
      </c>
      <c r="E28" s="78">
        <f>SUM(E3:E27)</f>
        <v>-95</v>
      </c>
      <c r="F28" s="63">
        <f>SUM(F3:F27)</f>
        <v>16917</v>
      </c>
      <c r="G28" s="78">
        <f>SUM(G3:G27)</f>
        <v>-803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84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T('8pow. 50 r.ż.'!B2)</f>
        <v>powiaty</v>
      </c>
      <c r="D3" s="55" t="str">
        <f>T('8pow. 50 r.ż.'!C2)</f>
        <v>liczba bezrobotnych 50+ stan na 31 VIII '23 r.</v>
      </c>
      <c r="E3" s="55" t="str">
        <f>T('8pow. 50 r.ż.'!D2)</f>
        <v>liczba bezrobotnych 50+ stan na 31 VII '23 r.</v>
      </c>
      <c r="F3" s="55" t="str">
        <f>T('8pow. 50 r.ż.'!E2)</f>
        <v>wzrost/spadek do poprzedniego  miesiąca</v>
      </c>
      <c r="G3" s="55" t="str">
        <f>T('8pow. 50 r.ż.'!F2)</f>
        <v>liczba bezrobotnych 50+ stan na 31 VIII '22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173</v>
      </c>
      <c r="E4" s="61">
        <f>INDEX('8pow. 50 r.ż.'!B3:G28,MATCH(1,B4:B29,0),3)</f>
        <v>162</v>
      </c>
      <c r="F4" s="6">
        <f>INDEX('8pow. 50 r.ż.'!B3:G28,MATCH(1,B4:B29,0),4)</f>
        <v>11</v>
      </c>
      <c r="G4" s="61">
        <f>INDEX('8pow. 50 r.ż.'!B3:G28,MATCH(1,B4:B29,0),5)</f>
        <v>173</v>
      </c>
      <c r="H4" s="6">
        <f>INDEX('8pow. 50 r.ż.'!B3:G28,MATCH(1,B4:B29,0),6)</f>
        <v>0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243</v>
      </c>
      <c r="E5" s="61">
        <f>INDEX('8pow. 50 r.ż.'!B3:G28,MATCH(2,B4:B29,0),3)</f>
        <v>249</v>
      </c>
      <c r="F5" s="6">
        <f>INDEX('8pow. 50 r.ż.'!B3:G28,MATCH(2,B4:B29,0),4)</f>
        <v>-6</v>
      </c>
      <c r="G5" s="61">
        <f>INDEX('8pow. 50 r.ż.'!B3:G28,MATCH(2,B4:B29,0),5)</f>
        <v>248</v>
      </c>
      <c r="H5" s="6">
        <f>INDEX('8pow. 50 r.ż.'!B3:G28,MATCH(2,B4:B29,0),6)</f>
        <v>-5</v>
      </c>
    </row>
    <row r="6" spans="2:8" x14ac:dyDescent="0.2">
      <c r="B6" s="6">
        <f>RANK('8pow. 50 r.ż.'!C5,'8pow. 50 r.ż.'!$C$3:'8pow. 50 r.ż.'!$C$28,1)+COUNTIF('8pow. 50 r.ż.'!$C$3:'8pow. 50 r.ż.'!C5,'8pow. 50 r.ż.'!C5)-1</f>
        <v>9</v>
      </c>
      <c r="C6" s="5" t="str">
        <f>INDEX('8pow. 50 r.ż.'!B3:G28,MATCH(3,B4:B29,0),1)</f>
        <v>Tarnobrzeg</v>
      </c>
      <c r="D6" s="6">
        <f>INDEX('8pow. 50 r.ż.'!B3:G28,MATCH(3,B4:B29,0),2)</f>
        <v>292</v>
      </c>
      <c r="E6" s="61">
        <f>INDEX('8pow. 50 r.ż.'!B3:G28,MATCH(3,B4:B29,0),3)</f>
        <v>294</v>
      </c>
      <c r="F6" s="6">
        <f>INDEX('8pow. 50 r.ż.'!B3:G28,MATCH(3,B4:B29,0),4)</f>
        <v>-2</v>
      </c>
      <c r="G6" s="61">
        <f>INDEX('8pow. 50 r.ż.'!B3:G28,MATCH(3,B4:B29,0),5)</f>
        <v>338</v>
      </c>
      <c r="H6" s="6">
        <f>INDEX('8pow. 50 r.ż.'!B3:G28,MATCH(3,B4:B29,0),6)</f>
        <v>-46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351</v>
      </c>
      <c r="E7" s="61">
        <f>INDEX('8pow. 50 r.ż.'!B3:G28,MATCH(4,B4:B29,0),3)</f>
        <v>351</v>
      </c>
      <c r="F7" s="6">
        <f>INDEX('8pow. 50 r.ż.'!B3:G28,MATCH(4,B4:B29,0),4)</f>
        <v>0</v>
      </c>
      <c r="G7" s="61">
        <f>INDEX('8pow. 50 r.ż.'!B3:G28,MATCH(4,B4:B29,0),5)</f>
        <v>348</v>
      </c>
      <c r="H7" s="6">
        <f>INDEX('8pow. 50 r.ż.'!B3:G28,MATCH(4,B4:B29,0),6)</f>
        <v>3</v>
      </c>
    </row>
    <row r="8" spans="2:8" x14ac:dyDescent="0.2">
      <c r="B8" s="6">
        <f>RANK('8pow. 50 r.ż.'!C7,'8pow. 50 r.ż.'!$C$3:'8pow. 50 r.ż.'!$C$28,1)+COUNTIF('8pow. 50 r.ż.'!$C$3:'8pow. 50 r.ż.'!C7,'8pow. 50 r.ż.'!C7)-1</f>
        <v>24</v>
      </c>
      <c r="C8" s="5" t="str">
        <f>INDEX('8pow. 50 r.ż.'!B3:G28,MATCH(5,B4:B29,0),1)</f>
        <v>leski</v>
      </c>
      <c r="D8" s="6">
        <f>INDEX('8pow. 50 r.ż.'!B3:G28,MATCH(5,B4:B29,0),2)</f>
        <v>377</v>
      </c>
      <c r="E8" s="61">
        <f>INDEX('8pow. 50 r.ż.'!B3:G28,MATCH(5,B4:B29,0),3)</f>
        <v>381</v>
      </c>
      <c r="F8" s="6">
        <f>INDEX('8pow. 50 r.ż.'!B3:G28,MATCH(5,B4:B29,0),4)</f>
        <v>-4</v>
      </c>
      <c r="G8" s="61">
        <f>INDEX('8pow. 50 r.ż.'!B3:G28,MATCH(5,B4:B29,0),5)</f>
        <v>383</v>
      </c>
      <c r="H8" s="6">
        <f>INDEX('8pow. 50 r.ż.'!B3:G28,MATCH(5,B4:B29,0),6)</f>
        <v>-6</v>
      </c>
    </row>
    <row r="9" spans="2:8" x14ac:dyDescent="0.2">
      <c r="B9" s="6">
        <f>RANK('8pow. 50 r.ż.'!C8,'8pow. 50 r.ż.'!$C$3:'8pow. 50 r.ż.'!$C$28,1)+COUNTIF('8pow. 50 r.ż.'!$C$3:'8pow. 50 r.ż.'!C8,'8pow. 50 r.ż.'!C8)-1</f>
        <v>6</v>
      </c>
      <c r="C9" s="5" t="str">
        <f>INDEX('8pow. 50 r.ż.'!B3:G28,MATCH(6,B4:B29,0),1)</f>
        <v>kolbuszowski</v>
      </c>
      <c r="D9" s="6">
        <f>INDEX('8pow. 50 r.ż.'!B3:G28,MATCH(6,B4:B29,0),2)</f>
        <v>388</v>
      </c>
      <c r="E9" s="61">
        <f>INDEX('8pow. 50 r.ż.'!B3:G28,MATCH(6,B4:B29,0),3)</f>
        <v>394</v>
      </c>
      <c r="F9" s="6">
        <f>INDEX('8pow. 50 r.ż.'!B3:G28,MATCH(6,B4:B29,0),4)</f>
        <v>-6</v>
      </c>
      <c r="G9" s="61">
        <f>INDEX('8pow. 50 r.ż.'!B3:G28,MATCH(6,B4:B29,0),5)</f>
        <v>432</v>
      </c>
      <c r="H9" s="6">
        <f>INDEX('8pow. 50 r.ż.'!B3:G28,MATCH(6,B4:B29,0),6)</f>
        <v>-44</v>
      </c>
    </row>
    <row r="10" spans="2:8" x14ac:dyDescent="0.2">
      <c r="B10" s="6">
        <f>RANK('8pow. 50 r.ż.'!C9,'8pow. 50 r.ż.'!$C$3:'8pow. 50 r.ż.'!$C$28,1)+COUNTIF('8pow. 50 r.ż.'!$C$3:'8pow. 50 r.ż.'!C9,'8pow. 50 r.ż.'!C9)-1</f>
        <v>10</v>
      </c>
      <c r="C10" s="9" t="str">
        <f>INDEX('8pow. 50 r.ż.'!B3:G28,MATCH(7,B4:B29,0),1)</f>
        <v>lubaczowski</v>
      </c>
      <c r="D10" s="6">
        <f>INDEX('8pow. 50 r.ż.'!B3:G28,MATCH(7,B4:B29,0),2)</f>
        <v>457</v>
      </c>
      <c r="E10" s="61">
        <f>INDEX('8pow. 50 r.ż.'!B3:G28,MATCH(7,B4:B29,0),3)</f>
        <v>462</v>
      </c>
      <c r="F10" s="6">
        <f>INDEX('8pow. 50 r.ż.'!B3:G28,MATCH(7,B4:B29,0),4)</f>
        <v>-5</v>
      </c>
      <c r="G10" s="61">
        <f>INDEX('8pow. 50 r.ż.'!B3:G28,MATCH(7,B4:B29,0),5)</f>
        <v>448</v>
      </c>
      <c r="H10" s="6">
        <f>INDEX('8pow. 50 r.ż.'!B3:G28,MATCH(7,B4:B29,0),6)</f>
        <v>9</v>
      </c>
    </row>
    <row r="11" spans="2:8" x14ac:dyDescent="0.2">
      <c r="B11" s="6">
        <f>RANK('8pow. 50 r.ż.'!C10,'8pow. 50 r.ż.'!$C$3:'8pow. 50 r.ż.'!$C$28,1)+COUNTIF('8pow. 50 r.ż.'!$C$3:'8pow. 50 r.ż.'!C10,'8pow. 50 r.ż.'!C10)-1</f>
        <v>5</v>
      </c>
      <c r="C11" s="5" t="str">
        <f>INDEX('8pow. 50 r.ż.'!B3:G28,MATCH(8,B4:B29,0),1)</f>
        <v>stalowowolski</v>
      </c>
      <c r="D11" s="6">
        <f>INDEX('8pow. 50 r.ż.'!B3:G28,MATCH(8,B4:B29,0),2)</f>
        <v>503</v>
      </c>
      <c r="E11" s="61">
        <f>INDEX('8pow. 50 r.ż.'!B3:G28,MATCH(8,B4:B29,0),3)</f>
        <v>501</v>
      </c>
      <c r="F11" s="6">
        <f>INDEX('8pow. 50 r.ż.'!B3:G28,MATCH(8,B4:B29,0),4)</f>
        <v>2</v>
      </c>
      <c r="G11" s="61">
        <f>INDEX('8pow. 50 r.ż.'!B3:G28,MATCH(8,B4:B29,0),5)</f>
        <v>547</v>
      </c>
      <c r="H11" s="6">
        <f>INDEX('8pow. 50 r.ż.'!B3:G28,MATCH(8,B4:B29,0),6)</f>
        <v>-44</v>
      </c>
    </row>
    <row r="12" spans="2:8" x14ac:dyDescent="0.2">
      <c r="B12" s="6">
        <f>RANK('8pow. 50 r.ż.'!C11,'8pow. 50 r.ż.'!$C$3:'8pow. 50 r.ż.'!$C$28,1)+COUNTIF('8pow. 50 r.ż.'!$C$3:'8pow. 50 r.ż.'!C11,'8pow. 50 r.ż.'!C11)-1</f>
        <v>14</v>
      </c>
      <c r="C12" s="5" t="str">
        <f>INDEX('8pow. 50 r.ż.'!B3:G28,MATCH(9,B4:B29,0),1)</f>
        <v>dębicki</v>
      </c>
      <c r="D12" s="6">
        <f>INDEX('8pow. 50 r.ż.'!B3:G28,MATCH(9,B4:B29,0),2)</f>
        <v>542</v>
      </c>
      <c r="E12" s="61">
        <f>INDEX('8pow. 50 r.ż.'!B3:G28,MATCH(9,B4:B29,0),3)</f>
        <v>567</v>
      </c>
      <c r="F12" s="6">
        <f>INDEX('8pow. 50 r.ż.'!B3:G28,MATCH(9,B4:B29,0),4)</f>
        <v>-25</v>
      </c>
      <c r="G12" s="61">
        <f>INDEX('8pow. 50 r.ż.'!B3:G28,MATCH(9,B4:B29,0),5)</f>
        <v>543</v>
      </c>
      <c r="H12" s="6">
        <f>INDEX('8pow. 50 r.ż.'!B3:G28,MATCH(9,B4:B29,0),6)</f>
        <v>-1</v>
      </c>
    </row>
    <row r="13" spans="2:8" x14ac:dyDescent="0.2">
      <c r="B13" s="6">
        <f>RANK('8pow. 50 r.ż.'!C12,'8pow. 50 r.ż.'!$C$3:'8pow. 50 r.ż.'!$C$28,1)+COUNTIF('8pow. 50 r.ż.'!$C$3:'8pow. 50 r.ż.'!C12,'8pow. 50 r.ż.'!C12)-1</f>
        <v>7</v>
      </c>
      <c r="C13" s="5" t="str">
        <f>INDEX('8pow. 50 r.ż.'!B3:G28,MATCH(10,B4:B29,0),1)</f>
        <v>krośnieński</v>
      </c>
      <c r="D13" s="6">
        <f>INDEX('8pow. 50 r.ż.'!B3:G28,MATCH(10,B4:B29,0),2)</f>
        <v>555</v>
      </c>
      <c r="E13" s="61">
        <f>INDEX('8pow. 50 r.ż.'!B3:G28,MATCH(10,B4:B29,0),3)</f>
        <v>549</v>
      </c>
      <c r="F13" s="6">
        <f>INDEX('8pow. 50 r.ż.'!B3:G28,MATCH(10,B4:B29,0),4)</f>
        <v>6</v>
      </c>
      <c r="G13" s="61">
        <f>INDEX('8pow. 50 r.ż.'!B3:G28,MATCH(10,B4:B29,0),5)</f>
        <v>529</v>
      </c>
      <c r="H13" s="6">
        <f>INDEX('8pow. 50 r.ż.'!B3:G28,MATCH(10,B4:B29,0),6)</f>
        <v>26</v>
      </c>
    </row>
    <row r="14" spans="2:8" x14ac:dyDescent="0.2">
      <c r="B14" s="6">
        <f>RANK('8pow. 50 r.ż.'!C13,'8pow. 50 r.ż.'!$C$3:'8pow. 50 r.ż.'!$C$28,1)+COUNTIF('8pow. 50 r.ż.'!$C$3:'8pow. 50 r.ż.'!C13,'8pow. 50 r.ż.'!C13)-1</f>
        <v>11</v>
      </c>
      <c r="C14" s="5" t="str">
        <f>INDEX('8pow. 50 r.ż.'!B3:G28,MATCH(11,B4:B29,0),1)</f>
        <v>łańcucki</v>
      </c>
      <c r="D14" s="6">
        <f>INDEX('8pow. 50 r.ż.'!B3:G28,MATCH(11,B4:B29,0),2)</f>
        <v>581</v>
      </c>
      <c r="E14" s="61">
        <f>INDEX('8pow. 50 r.ż.'!B3:G28,MATCH(11,B4:B29,0),3)</f>
        <v>579</v>
      </c>
      <c r="F14" s="6">
        <f>INDEX('8pow. 50 r.ż.'!B3:G28,MATCH(11,B4:B29,0),4)</f>
        <v>2</v>
      </c>
      <c r="G14" s="61">
        <f>INDEX('8pow. 50 r.ż.'!B3:G28,MATCH(11,B4:B29,0),5)</f>
        <v>659</v>
      </c>
      <c r="H14" s="6">
        <f>INDEX('8pow. 50 r.ż.'!B3:G28,MATCH(11,B4:B29,0),6)</f>
        <v>-78</v>
      </c>
    </row>
    <row r="15" spans="2:8" x14ac:dyDescent="0.2">
      <c r="B15" s="6">
        <f>RANK('8pow. 50 r.ż.'!C14,'8pow. 50 r.ż.'!$C$3:'8pow. 50 r.ż.'!$C$28,1)+COUNTIF('8pow. 50 r.ż.'!$C$3:'8pow. 50 r.ż.'!C14,'8pow. 50 r.ż.'!C14)-1</f>
        <v>19</v>
      </c>
      <c r="C15" s="5" t="str">
        <f>INDEX('8pow. 50 r.ż.'!B3:G28,MATCH(12,B4:B29,0),1)</f>
        <v>ropczycko-sędziszowski</v>
      </c>
      <c r="D15" s="6">
        <f>INDEX('8pow. 50 r.ż.'!B3:G28,MATCH(12,B4:B29,0),2)</f>
        <v>605</v>
      </c>
      <c r="E15" s="61">
        <f>INDEX('8pow. 50 r.ż.'!B3:G28,MATCH(12,B4:B29,0),3)</f>
        <v>572</v>
      </c>
      <c r="F15" s="6">
        <f>INDEX('8pow. 50 r.ż.'!B3:G28,MATCH(12,B4:B29,0),4)</f>
        <v>33</v>
      </c>
      <c r="G15" s="61">
        <f>INDEX('8pow. 50 r.ż.'!B3:G28,MATCH(12,B4:B29,0),5)</f>
        <v>643</v>
      </c>
      <c r="H15" s="6">
        <f>INDEX('8pow. 50 r.ż.'!B3:G28,MATCH(12,B4:B29,0),6)</f>
        <v>-38</v>
      </c>
    </row>
    <row r="16" spans="2:8" x14ac:dyDescent="0.2">
      <c r="B16" s="6">
        <f>RANK('8pow. 50 r.ż.'!C15,'8pow. 50 r.ż.'!$C$3:'8pow. 50 r.ż.'!$C$28,1)+COUNTIF('8pow. 50 r.ż.'!$C$3:'8pow. 50 r.ż.'!C15,'8pow. 50 r.ż.'!C15)-1</f>
        <v>20</v>
      </c>
      <c r="C16" s="5" t="str">
        <f>INDEX('8pow. 50 r.ż.'!B3:G28,MATCH(13,B4:B29,0),1)</f>
        <v>sanocki</v>
      </c>
      <c r="D16" s="6">
        <f>INDEX('8pow. 50 r.ż.'!B3:G28,MATCH(13,B4:B29,0),2)</f>
        <v>619</v>
      </c>
      <c r="E16" s="61">
        <f>INDEX('8pow. 50 r.ż.'!B3:G28,MATCH(13,B4:B29,0),3)</f>
        <v>621</v>
      </c>
      <c r="F16" s="6">
        <f>INDEX('8pow. 50 r.ż.'!B3:G28,MATCH(13,B4:B29,0),4)</f>
        <v>-2</v>
      </c>
      <c r="G16" s="61">
        <f>INDEX('8pow. 50 r.ż.'!B3:G28,MATCH(13,B4:B29,0),5)</f>
        <v>589</v>
      </c>
      <c r="H16" s="6">
        <f>INDEX('8pow. 50 r.ż.'!B3:G28,MATCH(13,B4:B29,0),6)</f>
        <v>30</v>
      </c>
    </row>
    <row r="17" spans="2:8" x14ac:dyDescent="0.2">
      <c r="B17" s="6">
        <f>RANK('8pow. 50 r.ż.'!C16,'8pow. 50 r.ż.'!$C$3:'8pow. 50 r.ż.'!$C$28,1)+COUNTIF('8pow. 50 r.ż.'!$C$3:'8pow. 50 r.ż.'!C16,'8pow. 50 r.ż.'!C16)-1</f>
        <v>15</v>
      </c>
      <c r="C17" s="5" t="str">
        <f>INDEX('8pow. 50 r.ż.'!B3:G28,MATCH(14,B4:B29,0),1)</f>
        <v>leżajski</v>
      </c>
      <c r="D17" s="6">
        <f>INDEX('8pow. 50 r.ż.'!B3:G28,MATCH(14,B4:B29,0),2)</f>
        <v>674</v>
      </c>
      <c r="E17" s="61">
        <f>INDEX('8pow. 50 r.ż.'!B3:G28,MATCH(14,B4:B29,0),3)</f>
        <v>684</v>
      </c>
      <c r="F17" s="6">
        <f>INDEX('8pow. 50 r.ż.'!B3:G28,MATCH(14,B4:B29,0),4)</f>
        <v>-10</v>
      </c>
      <c r="G17" s="61">
        <f>INDEX('8pow. 50 r.ż.'!B3:G28,MATCH(14,B4:B29,0),5)</f>
        <v>712</v>
      </c>
      <c r="H17" s="6">
        <f>INDEX('8pow. 50 r.ż.'!B3:G28,MATCH(14,B4:B29,0),6)</f>
        <v>-38</v>
      </c>
    </row>
    <row r="18" spans="2:8" x14ac:dyDescent="0.2">
      <c r="B18" s="6">
        <f>RANK('8pow. 50 r.ż.'!C17,'8pow. 50 r.ż.'!$C$3:'8pow. 50 r.ż.'!$C$28,1)+COUNTIF('8pow. 50 r.ż.'!$C$3:'8pow. 50 r.ż.'!C17,'8pow. 50 r.ż.'!C17)-1</f>
        <v>17</v>
      </c>
      <c r="C18" s="5" t="str">
        <f>INDEX('8pow. 50 r.ż.'!B3:G28,MATCH(15,B4:B29,0),1)</f>
        <v>przemyski</v>
      </c>
      <c r="D18" s="6">
        <f>INDEX('8pow. 50 r.ż.'!B3:G28,MATCH(15,B4:B29,0),2)</f>
        <v>675</v>
      </c>
      <c r="E18" s="61">
        <f>INDEX('8pow. 50 r.ż.'!B3:G28,MATCH(15,B4:B29,0),3)</f>
        <v>679</v>
      </c>
      <c r="F18" s="6">
        <f>INDEX('8pow. 50 r.ż.'!B3:G28,MATCH(15,B4:B29,0),4)</f>
        <v>-4</v>
      </c>
      <c r="G18" s="61">
        <f>INDEX('8pow. 50 r.ż.'!B3:G28,MATCH(15,B4:B29,0),5)</f>
        <v>703</v>
      </c>
      <c r="H18" s="6">
        <f>INDEX('8pow. 50 r.ż.'!B3:G28,MATCH(15,B4:B29,0),6)</f>
        <v>-28</v>
      </c>
    </row>
    <row r="19" spans="2:8" x14ac:dyDescent="0.2">
      <c r="B19" s="6">
        <f>RANK('8pow. 50 r.ż.'!C18,'8pow. 50 r.ż.'!$C$3:'8pow. 50 r.ż.'!$C$28,1)+COUNTIF('8pow. 50 r.ż.'!$C$3:'8pow. 50 r.ż.'!C18,'8pow. 50 r.ż.'!C18)-1</f>
        <v>12</v>
      </c>
      <c r="C19" s="5" t="str">
        <f>INDEX('8pow. 50 r.ż.'!B3:G28,MATCH(16,B4:B29,0),1)</f>
        <v>Przemyśl</v>
      </c>
      <c r="D19" s="6">
        <f>INDEX('8pow. 50 r.ż.'!B3:G28,MATCH(16,B4:B29,0),2)</f>
        <v>675</v>
      </c>
      <c r="E19" s="61">
        <f>INDEX('8pow. 50 r.ż.'!B3:G28,MATCH(16,B4:B29,0),3)</f>
        <v>701</v>
      </c>
      <c r="F19" s="6">
        <f>INDEX('8pow. 50 r.ż.'!B3:G28,MATCH(16,B4:B29,0),4)</f>
        <v>-26</v>
      </c>
      <c r="G19" s="61">
        <f>INDEX('8pow. 50 r.ż.'!B3:G28,MATCH(16,B4:B29,0),5)</f>
        <v>723</v>
      </c>
      <c r="H19" s="6">
        <f>INDEX('8pow. 50 r.ż.'!B3:G28,MATCH(16,B4:B29,0),6)</f>
        <v>-48</v>
      </c>
    </row>
    <row r="20" spans="2:8" x14ac:dyDescent="0.2">
      <c r="B20" s="6">
        <f>RANK('8pow. 50 r.ż.'!C19,'8pow. 50 r.ż.'!$C$3:'8pow. 50 r.ż.'!$C$28,1)+COUNTIF('8pow. 50 r.ż.'!$C$3:'8pow. 50 r.ż.'!C19,'8pow. 50 r.ż.'!C19)-1</f>
        <v>23</v>
      </c>
      <c r="C20" s="5" t="str">
        <f>INDEX('8pow. 50 r.ż.'!B3:G28,MATCH(17,B4:B29,0),1)</f>
        <v>przeworski</v>
      </c>
      <c r="D20" s="6">
        <f>INDEX('8pow. 50 r.ż.'!B3:G28,MATCH(17,B4:B29,0),2)</f>
        <v>681</v>
      </c>
      <c r="E20" s="61">
        <f>INDEX('8pow. 50 r.ż.'!B3:G28,MATCH(17,B4:B29,0),3)</f>
        <v>669</v>
      </c>
      <c r="F20" s="6">
        <f>INDEX('8pow. 50 r.ż.'!B3:G28,MATCH(17,B4:B29,0),4)</f>
        <v>12</v>
      </c>
      <c r="G20" s="61">
        <f>INDEX('8pow. 50 r.ż.'!B3:G28,MATCH(17,B4:B29,0),5)</f>
        <v>700</v>
      </c>
      <c r="H20" s="6">
        <f>INDEX('8pow. 50 r.ż.'!B3:G28,MATCH(17,B4:B29,0),6)</f>
        <v>-19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strzyżowski</v>
      </c>
      <c r="D21" s="6">
        <f>INDEX('8pow. 50 r.ż.'!B3:G28,MATCH(18,B4:B29,0),2)</f>
        <v>700</v>
      </c>
      <c r="E21" s="61">
        <f>INDEX('8pow. 50 r.ż.'!B3:G28,MATCH(18,B4:B29,0),3)</f>
        <v>720</v>
      </c>
      <c r="F21" s="6">
        <f>INDEX('8pow. 50 r.ż.'!B3:G28,MATCH(18,B4:B29,0),4)</f>
        <v>-20</v>
      </c>
      <c r="G21" s="61">
        <f>INDEX('8pow. 50 r.ż.'!B3:G28,MATCH(18,B4:B29,0),5)</f>
        <v>753</v>
      </c>
      <c r="H21" s="6">
        <f>INDEX('8pow. 50 r.ż.'!B3:G28,MATCH(18,B4:B29,0),6)</f>
        <v>-53</v>
      </c>
    </row>
    <row r="22" spans="2:8" x14ac:dyDescent="0.2">
      <c r="B22" s="6">
        <f>RANK('8pow. 50 r.ż.'!C21,'8pow. 50 r.ż.'!$C$3:'8pow. 50 r.ż.'!$C$28,1)+COUNTIF('8pow. 50 r.ż.'!$C$3:'8pow. 50 r.ż.'!C21,'8pow. 50 r.ż.'!C21)-1</f>
        <v>8</v>
      </c>
      <c r="C22" s="5" t="str">
        <f>INDEX('8pow. 50 r.ż.'!B3:G28,MATCH(19,B4:B29,0),1)</f>
        <v>mielecki</v>
      </c>
      <c r="D22" s="6">
        <f>INDEX('8pow. 50 r.ż.'!B3:G28,MATCH(19,B4:B29,0),2)</f>
        <v>735</v>
      </c>
      <c r="E22" s="61">
        <f>INDEX('8pow. 50 r.ż.'!B3:G28,MATCH(19,B4:B29,0),3)</f>
        <v>731</v>
      </c>
      <c r="F22" s="6">
        <f>INDEX('8pow. 50 r.ż.'!B3:G28,MATCH(19,B4:B29,0),4)</f>
        <v>4</v>
      </c>
      <c r="G22" s="61">
        <f>INDEX('8pow. 50 r.ż.'!B3:G28,MATCH(19,B4:B29,0),5)</f>
        <v>699</v>
      </c>
      <c r="H22" s="6">
        <f>INDEX('8pow. 50 r.ż.'!B3:G28,MATCH(19,B4:B29,0),6)</f>
        <v>36</v>
      </c>
    </row>
    <row r="23" spans="2:8" x14ac:dyDescent="0.2">
      <c r="B23" s="6">
        <f>RANK('8pow. 50 r.ż.'!C22,'8pow. 50 r.ż.'!$C$3:'8pow. 50 r.ż.'!$C$28,1)+COUNTIF('8pow. 50 r.ż.'!$C$3:'8pow. 50 r.ż.'!C22,'8pow. 50 r.ż.'!C22)-1</f>
        <v>18</v>
      </c>
      <c r="C23" s="5" t="str">
        <f>INDEX('8pow. 50 r.ż.'!B3:G28,MATCH(20,B4:B29,0),1)</f>
        <v>niżański</v>
      </c>
      <c r="D23" s="6">
        <f>INDEX('8pow. 50 r.ż.'!B3:G28,MATCH(20,B4:B29,0),2)</f>
        <v>737</v>
      </c>
      <c r="E23" s="61">
        <f>INDEX('8pow. 50 r.ż.'!B3:G28,MATCH(20,B4:B29,0),3)</f>
        <v>738</v>
      </c>
      <c r="F23" s="6">
        <f>INDEX('8pow. 50 r.ż.'!B3:G28,MATCH(20,B4:B29,0),4)</f>
        <v>-1</v>
      </c>
      <c r="G23" s="61">
        <f>INDEX('8pow. 50 r.ż.'!B3:G28,MATCH(20,B4:B29,0),5)</f>
        <v>780</v>
      </c>
      <c r="H23" s="6">
        <f>INDEX('8pow. 50 r.ż.'!B3:G28,MATCH(20,B4:B29,0),6)</f>
        <v>-43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910</v>
      </c>
      <c r="E24" s="61">
        <f>INDEX('8pow. 50 r.ż.'!B3:G28,MATCH(21,B4:B29,0),3)</f>
        <v>918</v>
      </c>
      <c r="F24" s="6">
        <f>INDEX('8pow. 50 r.ż.'!B3:G28,MATCH(21,B4:B29,0),4)</f>
        <v>-8</v>
      </c>
      <c r="G24" s="61">
        <f>INDEX('8pow. 50 r.ż.'!B3:G28,MATCH(21,B4:B29,0),5)</f>
        <v>995</v>
      </c>
      <c r="H24" s="6">
        <f>INDEX('8pow. 50 r.ż.'!B3:G28,MATCH(21,B4:B29,0),6)</f>
        <v>-85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1033</v>
      </c>
      <c r="E25" s="61">
        <f>INDEX('8pow. 50 r.ż.'!B3:G28,MATCH(22,B4:B29,0),3)</f>
        <v>1066</v>
      </c>
      <c r="F25" s="6">
        <f>INDEX('8pow. 50 r.ż.'!B3:G28,MATCH(22,B4:B29,0),4)</f>
        <v>-33</v>
      </c>
      <c r="G25" s="61">
        <f>INDEX('8pow. 50 r.ż.'!B3:G28,MATCH(22,B4:B29,0),5)</f>
        <v>1112</v>
      </c>
      <c r="H25" s="6">
        <f>INDEX('8pow. 50 r.ż.'!B3:G28,MATCH(22,B4:B29,0),6)</f>
        <v>-79</v>
      </c>
    </row>
    <row r="26" spans="2:8" x14ac:dyDescent="0.2">
      <c r="B26" s="6">
        <f>RANK('8pow. 50 r.ż.'!C25,'8pow. 50 r.ż.'!$C$3:'8pow. 50 r.ż.'!$C$28,1)+COUNTIF('8pow. 50 r.ż.'!$C$3:'8pow. 50 r.ż.'!C25,'8pow. 50 r.ż.'!C25)-1</f>
        <v>16</v>
      </c>
      <c r="C26" s="5" t="str">
        <f>INDEX('8pow. 50 r.ż.'!B3:G28,MATCH(23,B4:B29,0),1)</f>
        <v>rzeszowski</v>
      </c>
      <c r="D26" s="6">
        <f>INDEX('8pow. 50 r.ż.'!B3:G28,MATCH(23,B4:B29,0),2)</f>
        <v>1109</v>
      </c>
      <c r="E26" s="61">
        <f>INDEX('8pow. 50 r.ż.'!B3:G28,MATCH(23,B4:B29,0),3)</f>
        <v>1125</v>
      </c>
      <c r="F26" s="6">
        <f>INDEX('8pow. 50 r.ż.'!B3:G28,MATCH(23,B4:B29,0),4)</f>
        <v>-16</v>
      </c>
      <c r="G26" s="61">
        <f>INDEX('8pow. 50 r.ż.'!B3:G28,MATCH(23,B4:B29,0),5)</f>
        <v>1195</v>
      </c>
      <c r="H26" s="6">
        <f>INDEX('8pow. 50 r.ż.'!B3:G28,MATCH(23,B4:B29,0),6)</f>
        <v>-86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jasielski</v>
      </c>
      <c r="D27" s="6">
        <f>INDEX('8pow. 50 r.ż.'!B3:G28,MATCH(24,B4:B29,0),2)</f>
        <v>1119</v>
      </c>
      <c r="E27" s="61">
        <f>INDEX('8pow. 50 r.ż.'!B3:G28,MATCH(24,B4:B29,0),3)</f>
        <v>1097</v>
      </c>
      <c r="F27" s="6">
        <f>INDEX('8pow. 50 r.ż.'!B3:G28,MATCH(24,B4:B29,0),4)</f>
        <v>22</v>
      </c>
      <c r="G27" s="61">
        <f>INDEX('8pow. 50 r.ż.'!B3:G28,MATCH(24,B4:B29,0),5)</f>
        <v>1113</v>
      </c>
      <c r="H27" s="6">
        <f>INDEX('8pow. 50 r.ż.'!B3:G28,MATCH(24,B4:B29,0),6)</f>
        <v>6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1380</v>
      </c>
      <c r="E28" s="61">
        <f>INDEX('8pow. 50 r.ż.'!B3:G28,MATCH(25,B4:B29,0),3)</f>
        <v>1399</v>
      </c>
      <c r="F28" s="6">
        <f>INDEX('8pow. 50 r.ż.'!B3:G28,MATCH(25,B4:B29,0),4)</f>
        <v>-19</v>
      </c>
      <c r="G28" s="61">
        <f>INDEX('8pow. 50 r.ż.'!B3:G28,MATCH(25,B4:B29,0),5)</f>
        <v>1552</v>
      </c>
      <c r="H28" s="6">
        <f>INDEX('8pow. 50 r.ż.'!B3:G28,MATCH(25,B4:B29,0),6)</f>
        <v>-172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16114</v>
      </c>
      <c r="E29" s="63">
        <f>INDEX('8pow. 50 r.ż.'!B3:G28,MATCH(26,B4:B29,0),3)</f>
        <v>16209</v>
      </c>
      <c r="F29" s="59">
        <f>INDEX('8pow. 50 r.ż.'!B3:G28,MATCH(26,B4:B29,0),4)</f>
        <v>-95</v>
      </c>
      <c r="G29" s="63">
        <f>INDEX('8pow. 50 r.ż.'!B3:G28,MATCH(26,B4:B29,0),5)</f>
        <v>16917</v>
      </c>
      <c r="H29" s="59">
        <f>INDEX('8pow. 50 r.ż.'!B3:G28,MATCH(26,B4:B29,0),6)</f>
        <v>-803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1.28515625" style="3" customWidth="1"/>
    <col min="7" max="7" width="17.140625" style="3" customWidth="1"/>
    <col min="8" max="8" width="3.85546875" style="3" customWidth="1"/>
    <col min="9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145</v>
      </c>
      <c r="D2" s="57" t="s">
        <v>126</v>
      </c>
      <c r="E2" s="56" t="s">
        <v>28</v>
      </c>
      <c r="F2" s="57" t="s">
        <v>144</v>
      </c>
      <c r="G2" s="56" t="s">
        <v>26</v>
      </c>
    </row>
    <row r="3" spans="2:8" x14ac:dyDescent="0.2">
      <c r="B3" s="5" t="s">
        <v>0</v>
      </c>
      <c r="C3" s="45">
        <v>38</v>
      </c>
      <c r="D3" s="61">
        <v>25</v>
      </c>
      <c r="E3" s="45">
        <f t="shared" ref="E3:E27" si="0">SUM(C3)-D3</f>
        <v>13</v>
      </c>
      <c r="F3" s="61">
        <v>36</v>
      </c>
      <c r="G3" s="45">
        <f t="shared" ref="G3:G27" si="1">SUM(C3)-F3</f>
        <v>2</v>
      </c>
      <c r="H3" s="7"/>
    </row>
    <row r="4" spans="2:8" x14ac:dyDescent="0.2">
      <c r="B4" s="5" t="s">
        <v>1</v>
      </c>
      <c r="C4" s="45">
        <v>59</v>
      </c>
      <c r="D4" s="61">
        <v>56</v>
      </c>
      <c r="E4" s="45">
        <f t="shared" si="0"/>
        <v>3</v>
      </c>
      <c r="F4" s="61">
        <v>70</v>
      </c>
      <c r="G4" s="45">
        <f t="shared" si="1"/>
        <v>-11</v>
      </c>
      <c r="H4" s="7"/>
    </row>
    <row r="5" spans="2:8" x14ac:dyDescent="0.2">
      <c r="B5" s="5" t="s">
        <v>2</v>
      </c>
      <c r="C5" s="45">
        <v>287</v>
      </c>
      <c r="D5" s="61">
        <v>220</v>
      </c>
      <c r="E5" s="45">
        <f t="shared" si="0"/>
        <v>67</v>
      </c>
      <c r="F5" s="61">
        <v>360</v>
      </c>
      <c r="G5" s="45">
        <f t="shared" si="1"/>
        <v>-73</v>
      </c>
      <c r="H5" s="7"/>
    </row>
    <row r="6" spans="2:8" x14ac:dyDescent="0.2">
      <c r="B6" s="5" t="s">
        <v>3</v>
      </c>
      <c r="C6" s="45">
        <v>116</v>
      </c>
      <c r="D6" s="61">
        <v>273</v>
      </c>
      <c r="E6" s="45">
        <f t="shared" si="0"/>
        <v>-157</v>
      </c>
      <c r="F6" s="61">
        <v>173</v>
      </c>
      <c r="G6" s="45">
        <f t="shared" si="1"/>
        <v>-57</v>
      </c>
      <c r="H6" s="7"/>
    </row>
    <row r="7" spans="2:8" x14ac:dyDescent="0.2">
      <c r="B7" s="5" t="s">
        <v>4</v>
      </c>
      <c r="C7" s="45">
        <v>233</v>
      </c>
      <c r="D7" s="61">
        <v>191</v>
      </c>
      <c r="E7" s="45">
        <f t="shared" si="0"/>
        <v>42</v>
      </c>
      <c r="F7" s="61">
        <v>178</v>
      </c>
      <c r="G7" s="45">
        <f t="shared" si="1"/>
        <v>55</v>
      </c>
      <c r="H7" s="7"/>
    </row>
    <row r="8" spans="2:8" x14ac:dyDescent="0.2">
      <c r="B8" s="5" t="s">
        <v>5</v>
      </c>
      <c r="C8" s="45">
        <v>98</v>
      </c>
      <c r="D8" s="61">
        <v>90</v>
      </c>
      <c r="E8" s="45">
        <f t="shared" si="0"/>
        <v>8</v>
      </c>
      <c r="F8" s="61">
        <v>125</v>
      </c>
      <c r="G8" s="45">
        <f t="shared" si="1"/>
        <v>-27</v>
      </c>
      <c r="H8" s="7"/>
    </row>
    <row r="9" spans="2:8" x14ac:dyDescent="0.2">
      <c r="B9" s="9" t="s">
        <v>6</v>
      </c>
      <c r="C9" s="45">
        <v>70</v>
      </c>
      <c r="D9" s="61">
        <v>131</v>
      </c>
      <c r="E9" s="45">
        <f t="shared" si="0"/>
        <v>-61</v>
      </c>
      <c r="F9" s="61">
        <v>58</v>
      </c>
      <c r="G9" s="45">
        <f t="shared" si="1"/>
        <v>12</v>
      </c>
      <c r="H9" s="7"/>
    </row>
    <row r="10" spans="2:8" x14ac:dyDescent="0.2">
      <c r="B10" s="5" t="s">
        <v>7</v>
      </c>
      <c r="C10" s="45">
        <v>48</v>
      </c>
      <c r="D10" s="61">
        <v>23</v>
      </c>
      <c r="E10" s="45">
        <f t="shared" si="0"/>
        <v>25</v>
      </c>
      <c r="F10" s="61">
        <v>22</v>
      </c>
      <c r="G10" s="45">
        <f t="shared" si="1"/>
        <v>26</v>
      </c>
      <c r="H10" s="7"/>
    </row>
    <row r="11" spans="2:8" x14ac:dyDescent="0.2">
      <c r="B11" s="5" t="s">
        <v>8</v>
      </c>
      <c r="C11" s="45">
        <v>102</v>
      </c>
      <c r="D11" s="61">
        <v>59</v>
      </c>
      <c r="E11" s="45">
        <f t="shared" si="0"/>
        <v>43</v>
      </c>
      <c r="F11" s="61">
        <v>104</v>
      </c>
      <c r="G11" s="45">
        <f t="shared" si="1"/>
        <v>-2</v>
      </c>
      <c r="H11" s="7"/>
    </row>
    <row r="12" spans="2:8" x14ac:dyDescent="0.2">
      <c r="B12" s="5" t="s">
        <v>9</v>
      </c>
      <c r="C12" s="45">
        <v>85</v>
      </c>
      <c r="D12" s="61">
        <v>111</v>
      </c>
      <c r="E12" s="45">
        <f t="shared" si="0"/>
        <v>-26</v>
      </c>
      <c r="F12" s="61">
        <v>55</v>
      </c>
      <c r="G12" s="45">
        <f t="shared" si="1"/>
        <v>30</v>
      </c>
      <c r="H12" s="7"/>
    </row>
    <row r="13" spans="2:8" x14ac:dyDescent="0.2">
      <c r="B13" s="5" t="s">
        <v>10</v>
      </c>
      <c r="C13" s="45">
        <v>83</v>
      </c>
      <c r="D13" s="61">
        <v>58</v>
      </c>
      <c r="E13" s="45">
        <f t="shared" si="0"/>
        <v>25</v>
      </c>
      <c r="F13" s="61">
        <v>83</v>
      </c>
      <c r="G13" s="45">
        <f t="shared" si="1"/>
        <v>0</v>
      </c>
      <c r="H13" s="7"/>
    </row>
    <row r="14" spans="2:8" x14ac:dyDescent="0.2">
      <c r="B14" s="5" t="s">
        <v>11</v>
      </c>
      <c r="C14" s="45">
        <v>312</v>
      </c>
      <c r="D14" s="61">
        <v>271</v>
      </c>
      <c r="E14" s="45">
        <f t="shared" si="0"/>
        <v>41</v>
      </c>
      <c r="F14" s="61">
        <v>419</v>
      </c>
      <c r="G14" s="45">
        <f t="shared" si="1"/>
        <v>-107</v>
      </c>
      <c r="H14" s="7"/>
    </row>
    <row r="15" spans="2:8" x14ac:dyDescent="0.2">
      <c r="B15" s="5" t="s">
        <v>12</v>
      </c>
      <c r="C15" s="45">
        <v>86</v>
      </c>
      <c r="D15" s="61">
        <v>105</v>
      </c>
      <c r="E15" s="45">
        <f t="shared" si="0"/>
        <v>-19</v>
      </c>
      <c r="F15" s="61">
        <v>87</v>
      </c>
      <c r="G15" s="45">
        <f t="shared" si="1"/>
        <v>-1</v>
      </c>
      <c r="H15" s="7"/>
    </row>
    <row r="16" spans="2:8" x14ac:dyDescent="0.2">
      <c r="B16" s="5" t="s">
        <v>13</v>
      </c>
      <c r="C16" s="45">
        <v>35</v>
      </c>
      <c r="D16" s="61">
        <v>21</v>
      </c>
      <c r="E16" s="45">
        <f t="shared" si="0"/>
        <v>14</v>
      </c>
      <c r="F16" s="61">
        <v>30</v>
      </c>
      <c r="G16" s="45">
        <f t="shared" si="1"/>
        <v>5</v>
      </c>
      <c r="H16" s="7"/>
    </row>
    <row r="17" spans="2:8" x14ac:dyDescent="0.2">
      <c r="B17" s="5" t="s">
        <v>14</v>
      </c>
      <c r="C17" s="45">
        <v>168</v>
      </c>
      <c r="D17" s="61">
        <v>282</v>
      </c>
      <c r="E17" s="45">
        <f t="shared" si="0"/>
        <v>-114</v>
      </c>
      <c r="F17" s="61">
        <v>178</v>
      </c>
      <c r="G17" s="45">
        <f t="shared" si="1"/>
        <v>-10</v>
      </c>
      <c r="H17" s="7"/>
    </row>
    <row r="18" spans="2:8" x14ac:dyDescent="0.2">
      <c r="B18" s="5" t="s">
        <v>15</v>
      </c>
      <c r="C18" s="45">
        <v>137</v>
      </c>
      <c r="D18" s="61">
        <v>83</v>
      </c>
      <c r="E18" s="45">
        <f t="shared" si="0"/>
        <v>54</v>
      </c>
      <c r="F18" s="61">
        <v>159</v>
      </c>
      <c r="G18" s="45">
        <f t="shared" si="1"/>
        <v>-22</v>
      </c>
      <c r="H18" s="7"/>
    </row>
    <row r="19" spans="2:8" x14ac:dyDescent="0.2">
      <c r="B19" s="5" t="s">
        <v>16</v>
      </c>
      <c r="C19" s="45">
        <v>184</v>
      </c>
      <c r="D19" s="61">
        <v>155</v>
      </c>
      <c r="E19" s="45">
        <f t="shared" si="0"/>
        <v>29</v>
      </c>
      <c r="F19" s="61">
        <v>183</v>
      </c>
      <c r="G19" s="45">
        <f t="shared" si="1"/>
        <v>1</v>
      </c>
      <c r="H19" s="7"/>
    </row>
    <row r="20" spans="2:8" x14ac:dyDescent="0.2">
      <c r="B20" s="5" t="s">
        <v>17</v>
      </c>
      <c r="C20" s="45">
        <v>80</v>
      </c>
      <c r="D20" s="61">
        <v>90</v>
      </c>
      <c r="E20" s="45">
        <f t="shared" si="0"/>
        <v>-10</v>
      </c>
      <c r="F20" s="61">
        <v>96</v>
      </c>
      <c r="G20" s="45">
        <f t="shared" si="1"/>
        <v>-16</v>
      </c>
      <c r="H20" s="7"/>
    </row>
    <row r="21" spans="2:8" x14ac:dyDescent="0.2">
      <c r="B21" s="5" t="s">
        <v>18</v>
      </c>
      <c r="C21" s="45">
        <v>152</v>
      </c>
      <c r="D21" s="61">
        <v>96</v>
      </c>
      <c r="E21" s="45">
        <f t="shared" si="0"/>
        <v>56</v>
      </c>
      <c r="F21" s="61">
        <v>143</v>
      </c>
      <c r="G21" s="45">
        <f t="shared" si="1"/>
        <v>9</v>
      </c>
      <c r="H21" s="7"/>
    </row>
    <row r="22" spans="2:8" x14ac:dyDescent="0.2">
      <c r="B22" s="5" t="s">
        <v>19</v>
      </c>
      <c r="C22" s="45">
        <v>192</v>
      </c>
      <c r="D22" s="61">
        <v>144</v>
      </c>
      <c r="E22" s="45">
        <f t="shared" si="0"/>
        <v>48</v>
      </c>
      <c r="F22" s="61">
        <v>179</v>
      </c>
      <c r="G22" s="45">
        <f t="shared" si="1"/>
        <v>13</v>
      </c>
      <c r="H22" s="7"/>
    </row>
    <row r="23" spans="2:8" x14ac:dyDescent="0.2">
      <c r="B23" s="5" t="s">
        <v>20</v>
      </c>
      <c r="C23" s="45">
        <v>116</v>
      </c>
      <c r="D23" s="61">
        <v>91</v>
      </c>
      <c r="E23" s="45">
        <f t="shared" si="0"/>
        <v>25</v>
      </c>
      <c r="F23" s="61">
        <v>195</v>
      </c>
      <c r="G23" s="45">
        <f t="shared" si="1"/>
        <v>-79</v>
      </c>
      <c r="H23" s="7"/>
    </row>
    <row r="24" spans="2:8" x14ac:dyDescent="0.2">
      <c r="B24" s="5" t="s">
        <v>21</v>
      </c>
      <c r="C24" s="45">
        <v>72</v>
      </c>
      <c r="D24" s="61">
        <v>72</v>
      </c>
      <c r="E24" s="45">
        <f t="shared" si="0"/>
        <v>0</v>
      </c>
      <c r="F24" s="61">
        <v>66</v>
      </c>
      <c r="G24" s="45">
        <f t="shared" si="1"/>
        <v>6</v>
      </c>
      <c r="H24" s="7"/>
    </row>
    <row r="25" spans="2:8" x14ac:dyDescent="0.2">
      <c r="B25" s="5" t="s">
        <v>22</v>
      </c>
      <c r="C25" s="45">
        <v>63</v>
      </c>
      <c r="D25" s="61">
        <v>55</v>
      </c>
      <c r="E25" s="45">
        <f t="shared" si="0"/>
        <v>8</v>
      </c>
      <c r="F25" s="61">
        <v>89</v>
      </c>
      <c r="G25" s="45">
        <f t="shared" si="1"/>
        <v>-26</v>
      </c>
      <c r="H25" s="7"/>
    </row>
    <row r="26" spans="2:8" x14ac:dyDescent="0.2">
      <c r="B26" s="5" t="s">
        <v>23</v>
      </c>
      <c r="C26" s="45">
        <v>728</v>
      </c>
      <c r="D26" s="61">
        <v>763</v>
      </c>
      <c r="E26" s="45">
        <f t="shared" si="0"/>
        <v>-35</v>
      </c>
      <c r="F26" s="61">
        <v>558</v>
      </c>
      <c r="G26" s="45">
        <f t="shared" si="1"/>
        <v>170</v>
      </c>
      <c r="H26" s="7"/>
    </row>
    <row r="27" spans="2:8" x14ac:dyDescent="0.2">
      <c r="B27" s="5" t="s">
        <v>24</v>
      </c>
      <c r="C27" s="45">
        <v>89</v>
      </c>
      <c r="D27" s="61">
        <v>69</v>
      </c>
      <c r="E27" s="45">
        <f t="shared" si="0"/>
        <v>20</v>
      </c>
      <c r="F27" s="61">
        <v>140</v>
      </c>
      <c r="G27" s="45">
        <f t="shared" si="1"/>
        <v>-51</v>
      </c>
      <c r="H27" s="7"/>
    </row>
    <row r="28" spans="2:8" ht="15" x14ac:dyDescent="0.25">
      <c r="B28" s="58" t="s">
        <v>25</v>
      </c>
      <c r="C28" s="78">
        <f>SUM(C3:C27)</f>
        <v>3633</v>
      </c>
      <c r="D28" s="63">
        <f>SUM(D3:D27)</f>
        <v>3534</v>
      </c>
      <c r="E28" s="78">
        <f>SUM(E3:E27)</f>
        <v>99</v>
      </c>
      <c r="F28" s="63">
        <f>SUM(F3:F27)</f>
        <v>3786</v>
      </c>
      <c r="G28" s="78">
        <f>SUM(G3:G27)</f>
        <v>-153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T('9oferty p.'!B2)</f>
        <v>powiaty</v>
      </c>
      <c r="D3" s="55" t="str">
        <f>T('9oferty p.'!C2)</f>
        <v>liczba ofert w VIII '23 r.</v>
      </c>
      <c r="E3" s="55" t="str">
        <f>T('9oferty p.'!D2)</f>
        <v>liczba ofert w VII '23 r.</v>
      </c>
      <c r="F3" s="55" t="str">
        <f>T('9oferty p.'!E2)</f>
        <v>wzrost/spadek do poprzedniego  miesiąca</v>
      </c>
      <c r="G3" s="55" t="str">
        <f>T('9oferty p.'!F2)</f>
        <v>liczba ofert w VIII '22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2</v>
      </c>
      <c r="C4" s="5" t="str">
        <f>INDEX('9oferty p.'!B3:G28,MATCH(1,B4:B29,0),1)</f>
        <v>przemyski</v>
      </c>
      <c r="D4" s="25">
        <f>INDEX('9oferty p.'!B3:G28,MATCH(1,B4:B29,0),2)</f>
        <v>35</v>
      </c>
      <c r="E4" s="61">
        <f>INDEX('9oferty p.'!B3:G28,MATCH(1,B4:B29,0),3)</f>
        <v>21</v>
      </c>
      <c r="F4" s="6">
        <f>INDEX('9oferty p.'!B3:G28,MATCH(1,B4:B29,0),4)</f>
        <v>14</v>
      </c>
      <c r="G4" s="61">
        <f>INDEX('9oferty p.'!B3:G28,MATCH(1,B4:B29,0),5)</f>
        <v>30</v>
      </c>
      <c r="H4" s="6">
        <f>INDEX('9oferty p.'!B3:G28,MATCH(1,B4:B29,0),6)</f>
        <v>5</v>
      </c>
    </row>
    <row r="5" spans="2:8" x14ac:dyDescent="0.2">
      <c r="B5" s="6">
        <f>RANK('9oferty p.'!C4,'9oferty p.'!$C$3:'9oferty p.'!$C$28,1)+COUNTIF('9oferty p.'!$C$3:'9oferty p.'!C4,'9oferty p.'!C4)-1</f>
        <v>4</v>
      </c>
      <c r="C5" s="5" t="str">
        <f>INDEX('9oferty p.'!B3:G28,MATCH(2,B4:B29,0),1)</f>
        <v>bieszczadzki</v>
      </c>
      <c r="D5" s="6">
        <f>INDEX('9oferty p.'!B3:G28,MATCH(2,B4:B29,0),2)</f>
        <v>38</v>
      </c>
      <c r="E5" s="61">
        <f>INDEX('9oferty p.'!B3:G28,MATCH(2,B4:B29,0),3)</f>
        <v>25</v>
      </c>
      <c r="F5" s="6">
        <f>INDEX('9oferty p.'!B3:G28,MATCH(2,B4:B29,0),4)</f>
        <v>13</v>
      </c>
      <c r="G5" s="61">
        <f>INDEX('9oferty p.'!B3:G28,MATCH(2,B4:B29,0),5)</f>
        <v>36</v>
      </c>
      <c r="H5" s="6">
        <f>INDEX('9oferty p.'!B3:G28,MATCH(2,B4:B29,0),6)</f>
        <v>2</v>
      </c>
    </row>
    <row r="6" spans="2:8" x14ac:dyDescent="0.2">
      <c r="B6" s="6">
        <f>RANK('9oferty p.'!C5,'9oferty p.'!$C$3:'9oferty p.'!$C$28,1)+COUNTIF('9oferty p.'!$C$3:'9oferty p.'!C5,'9oferty p.'!C5)-1</f>
        <v>23</v>
      </c>
      <c r="C6" s="5" t="str">
        <f>INDEX('9oferty p.'!B3:G28,MATCH(3,B4:B29,0),1)</f>
        <v>leski</v>
      </c>
      <c r="D6" s="6">
        <f>INDEX('9oferty p.'!B3:G28,MATCH(3,B4:B29,0),2)</f>
        <v>48</v>
      </c>
      <c r="E6" s="61">
        <f>INDEX('9oferty p.'!B3:G28,MATCH(3,B4:B29,0),3)</f>
        <v>23</v>
      </c>
      <c r="F6" s="6">
        <f>INDEX('9oferty p.'!B3:G28,MATCH(3,B4:B29,0),4)</f>
        <v>25</v>
      </c>
      <c r="G6" s="61">
        <f>INDEX('9oferty p.'!B3:G28,MATCH(3,B4:B29,0),5)</f>
        <v>22</v>
      </c>
      <c r="H6" s="6">
        <f>INDEX('9oferty p.'!B3:G28,MATCH(3,B4:B29,0),6)</f>
        <v>26</v>
      </c>
    </row>
    <row r="7" spans="2:8" x14ac:dyDescent="0.2">
      <c r="B7" s="6">
        <f>RANK('9oferty p.'!C6,'9oferty p.'!$C$3:'9oferty p.'!$C$28,1)+COUNTIF('9oferty p.'!$C$3:'9oferty p.'!C6,'9oferty p.'!C6)-1</f>
        <v>15</v>
      </c>
      <c r="C7" s="5" t="str">
        <f>INDEX('9oferty p.'!B3:G28,MATCH(4,B4:B29,0),1)</f>
        <v>brzozowski</v>
      </c>
      <c r="D7" s="6">
        <f>INDEX('9oferty p.'!B3:G28,MATCH(4,B4:B29,0),2)</f>
        <v>59</v>
      </c>
      <c r="E7" s="61">
        <f>INDEX('9oferty p.'!B3:G28,MATCH(4,B4:B29,0),3)</f>
        <v>56</v>
      </c>
      <c r="F7" s="6">
        <f>INDEX('9oferty p.'!B3:G28,MATCH(4,B4:B29,0),4)</f>
        <v>3</v>
      </c>
      <c r="G7" s="61">
        <f>INDEX('9oferty p.'!B3:G28,MATCH(4,B4:B29,0),5)</f>
        <v>70</v>
      </c>
      <c r="H7" s="6">
        <f>INDEX('9oferty p.'!B3:G28,MATCH(4,B4:B29,0),6)</f>
        <v>-11</v>
      </c>
    </row>
    <row r="8" spans="2:8" x14ac:dyDescent="0.2">
      <c r="B8" s="6">
        <f>RANK('9oferty p.'!C7,'9oferty p.'!$C$3:'9oferty p.'!$C$28,1)+COUNTIF('9oferty p.'!$C$3:'9oferty p.'!C7,'9oferty p.'!C7)-1</f>
        <v>22</v>
      </c>
      <c r="C8" s="5" t="str">
        <f>INDEX('9oferty p.'!B3:G28,MATCH(5,B4:B29,0),1)</f>
        <v>Przemyśl</v>
      </c>
      <c r="D8" s="6">
        <f>INDEX('9oferty p.'!B3:G28,MATCH(5,B4:B29,0),2)</f>
        <v>63</v>
      </c>
      <c r="E8" s="61">
        <f>INDEX('9oferty p.'!B3:G28,MATCH(5,B4:B29,0),3)</f>
        <v>55</v>
      </c>
      <c r="F8" s="6">
        <f>INDEX('9oferty p.'!B3:G28,MATCH(5,B4:B29,0),4)</f>
        <v>8</v>
      </c>
      <c r="G8" s="61">
        <f>INDEX('9oferty p.'!B3:G28,MATCH(5,B4:B29,0),5)</f>
        <v>89</v>
      </c>
      <c r="H8" s="6">
        <f>INDEX('9oferty p.'!B3:G28,MATCH(5,B4:B29,0),6)</f>
        <v>-26</v>
      </c>
    </row>
    <row r="9" spans="2:8" x14ac:dyDescent="0.2">
      <c r="B9" s="6">
        <f>RANK('9oferty p.'!C8,'9oferty p.'!$C$3:'9oferty p.'!$C$28,1)+COUNTIF('9oferty p.'!$C$3:'9oferty p.'!C8,'9oferty p.'!C8)-1</f>
        <v>13</v>
      </c>
      <c r="C9" s="5" t="str">
        <f>INDEX('9oferty p.'!B3:G28,MATCH(6,B4:B29,0),1)</f>
        <v>krośnieński</v>
      </c>
      <c r="D9" s="6">
        <f>INDEX('9oferty p.'!B3:G28,MATCH(6,B4:B29,0),2)</f>
        <v>70</v>
      </c>
      <c r="E9" s="61">
        <f>INDEX('9oferty p.'!B3:G28,MATCH(6,B4:B29,0),3)</f>
        <v>131</v>
      </c>
      <c r="F9" s="6">
        <f>INDEX('9oferty p.'!B3:G28,MATCH(6,B4:B29,0),4)</f>
        <v>-61</v>
      </c>
      <c r="G9" s="61">
        <f>INDEX('9oferty p.'!B3:G28,MATCH(6,B4:B29,0),5)</f>
        <v>58</v>
      </c>
      <c r="H9" s="6">
        <f>INDEX('9oferty p.'!B3:G28,MATCH(6,B4:B29,0),6)</f>
        <v>12</v>
      </c>
    </row>
    <row r="10" spans="2:8" x14ac:dyDescent="0.2">
      <c r="B10" s="6">
        <f>RANK('9oferty p.'!C9,'9oferty p.'!$C$3:'9oferty p.'!$C$28,1)+COUNTIF('9oferty p.'!$C$3:'9oferty p.'!C9,'9oferty p.'!C9)-1</f>
        <v>6</v>
      </c>
      <c r="C10" s="9" t="str">
        <f>INDEX('9oferty p.'!B3:G28,MATCH(7,B4:B29,0),1)</f>
        <v>Krosno</v>
      </c>
      <c r="D10" s="6">
        <f>INDEX('9oferty p.'!B3:G28,MATCH(7,B4:B29,0),2)</f>
        <v>72</v>
      </c>
      <c r="E10" s="61">
        <f>INDEX('9oferty p.'!B3:G28,MATCH(7,B4:B29,0),3)</f>
        <v>72</v>
      </c>
      <c r="F10" s="6">
        <f>INDEX('9oferty p.'!B3:G28,MATCH(7,B4:B29,0),4)</f>
        <v>0</v>
      </c>
      <c r="G10" s="61">
        <f>INDEX('9oferty p.'!B3:G28,MATCH(7,B4:B29,0),5)</f>
        <v>66</v>
      </c>
      <c r="H10" s="6">
        <f>INDEX('9oferty p.'!B3:G28,MATCH(7,B4:B29,0),6)</f>
        <v>6</v>
      </c>
    </row>
    <row r="11" spans="2:8" x14ac:dyDescent="0.2">
      <c r="B11" s="6">
        <f>RANK('9oferty p.'!C10,'9oferty p.'!$C$3:'9oferty p.'!$C$28,1)+COUNTIF('9oferty p.'!$C$3:'9oferty p.'!C10,'9oferty p.'!C10)-1</f>
        <v>3</v>
      </c>
      <c r="C11" s="5" t="str">
        <f>INDEX('9oferty p.'!B3:G28,MATCH(8,B4:B29,0),1)</f>
        <v>sanocki</v>
      </c>
      <c r="D11" s="6">
        <f>INDEX('9oferty p.'!B3:G28,MATCH(8,B4:B29,0),2)</f>
        <v>80</v>
      </c>
      <c r="E11" s="61">
        <f>INDEX('9oferty p.'!B3:G28,MATCH(8,B4:B29,0),3)</f>
        <v>90</v>
      </c>
      <c r="F11" s="6">
        <f>INDEX('9oferty p.'!B3:G28,MATCH(8,B4:B29,0),4)</f>
        <v>-10</v>
      </c>
      <c r="G11" s="61">
        <f>INDEX('9oferty p.'!B3:G28,MATCH(8,B4:B29,0),5)</f>
        <v>96</v>
      </c>
      <c r="H11" s="6">
        <f>INDEX('9oferty p.'!B3:G28,MATCH(8,B4:B29,0),6)</f>
        <v>-16</v>
      </c>
    </row>
    <row r="12" spans="2:8" x14ac:dyDescent="0.2">
      <c r="B12" s="6">
        <f>RANK('9oferty p.'!C11,'9oferty p.'!$C$3:'9oferty p.'!$C$28,1)+COUNTIF('9oferty p.'!$C$3:'9oferty p.'!C11,'9oferty p.'!C11)-1</f>
        <v>14</v>
      </c>
      <c r="C12" s="5" t="str">
        <f>INDEX('9oferty p.'!B3:G28,MATCH(9,B4:B29,0),1)</f>
        <v>łańcucki</v>
      </c>
      <c r="D12" s="6">
        <f>INDEX('9oferty p.'!B3:G28,MATCH(9,B4:B29,0),2)</f>
        <v>83</v>
      </c>
      <c r="E12" s="61">
        <f>INDEX('9oferty p.'!B3:G28,MATCH(9,B4:B29,0),3)</f>
        <v>58</v>
      </c>
      <c r="F12" s="6">
        <f>INDEX('9oferty p.'!B3:G28,MATCH(9,B4:B29,0),4)</f>
        <v>25</v>
      </c>
      <c r="G12" s="61">
        <f>INDEX('9oferty p.'!B3:G28,MATCH(9,B4:B29,0),5)</f>
        <v>83</v>
      </c>
      <c r="H12" s="6">
        <f>INDEX('9oferty p.'!B3:G28,MATCH(9,B4:B29,0),6)</f>
        <v>0</v>
      </c>
    </row>
    <row r="13" spans="2:8" x14ac:dyDescent="0.2">
      <c r="B13" s="6">
        <f>RANK('9oferty p.'!C12,'9oferty p.'!$C$3:'9oferty p.'!$C$28,1)+COUNTIF('9oferty p.'!$C$3:'9oferty p.'!C12,'9oferty p.'!C12)-1</f>
        <v>10</v>
      </c>
      <c r="C13" s="5" t="str">
        <f>INDEX('9oferty p.'!B3:G28,MATCH(10,B4:B29,0),1)</f>
        <v>lubaczowski</v>
      </c>
      <c r="D13" s="6">
        <f>INDEX('9oferty p.'!B3:G28,MATCH(10,B4:B29,0),2)</f>
        <v>85</v>
      </c>
      <c r="E13" s="61">
        <f>INDEX('9oferty p.'!B3:G28,MATCH(10,B4:B29,0),3)</f>
        <v>111</v>
      </c>
      <c r="F13" s="6">
        <f>INDEX('9oferty p.'!B3:G28,MATCH(10,B4:B29,0),4)</f>
        <v>-26</v>
      </c>
      <c r="G13" s="61">
        <f>INDEX('9oferty p.'!B3:G28,MATCH(10,B4:B29,0),5)</f>
        <v>55</v>
      </c>
      <c r="H13" s="6">
        <f>INDEX('9oferty p.'!B3:G28,MATCH(10,B4:B29,0),6)</f>
        <v>30</v>
      </c>
    </row>
    <row r="14" spans="2:8" x14ac:dyDescent="0.2">
      <c r="B14" s="6">
        <f>RANK('9oferty p.'!C13,'9oferty p.'!$C$3:'9oferty p.'!$C$28,1)+COUNTIF('9oferty p.'!$C$3:'9oferty p.'!C13,'9oferty p.'!C13)-1</f>
        <v>9</v>
      </c>
      <c r="C14" s="5" t="str">
        <f>INDEX('9oferty p.'!B3:G28,MATCH(11,B4:B29,0),1)</f>
        <v>niżański</v>
      </c>
      <c r="D14" s="6">
        <f>INDEX('9oferty p.'!B3:G28,MATCH(11,B4:B29,0),2)</f>
        <v>86</v>
      </c>
      <c r="E14" s="61">
        <f>INDEX('9oferty p.'!B3:G28,MATCH(11,B4:B29,0),3)</f>
        <v>105</v>
      </c>
      <c r="F14" s="6">
        <f>INDEX('9oferty p.'!B3:G28,MATCH(11,B4:B29,0),4)</f>
        <v>-19</v>
      </c>
      <c r="G14" s="61">
        <f>INDEX('9oferty p.'!B3:G28,MATCH(11,B4:B29,0),5)</f>
        <v>87</v>
      </c>
      <c r="H14" s="6">
        <f>INDEX('9oferty p.'!B3:G28,MATCH(11,B4:B29,0),6)</f>
        <v>-1</v>
      </c>
    </row>
    <row r="15" spans="2:8" x14ac:dyDescent="0.2">
      <c r="B15" s="6">
        <f>RANK('9oferty p.'!C14,'9oferty p.'!$C$3:'9oferty p.'!$C$28,1)+COUNTIF('9oferty p.'!$C$3:'9oferty p.'!C14,'9oferty p.'!C14)-1</f>
        <v>24</v>
      </c>
      <c r="C15" s="5" t="str">
        <f>INDEX('9oferty p.'!B3:G28,MATCH(12,B4:B29,0),1)</f>
        <v>Tarnobrzeg</v>
      </c>
      <c r="D15" s="6">
        <f>INDEX('9oferty p.'!B3:G28,MATCH(12,B4:B29,0),2)</f>
        <v>89</v>
      </c>
      <c r="E15" s="61">
        <f>INDEX('9oferty p.'!B3:G28,MATCH(12,B4:B29,0),3)</f>
        <v>69</v>
      </c>
      <c r="F15" s="6">
        <f>INDEX('9oferty p.'!B3:G28,MATCH(12,B4:B29,0),4)</f>
        <v>20</v>
      </c>
      <c r="G15" s="61">
        <f>INDEX('9oferty p.'!B3:G28,MATCH(12,B4:B29,0),5)</f>
        <v>140</v>
      </c>
      <c r="H15" s="6">
        <f>INDEX('9oferty p.'!B3:G28,MATCH(12,B4:B29,0),6)</f>
        <v>-51</v>
      </c>
    </row>
    <row r="16" spans="2:8" x14ac:dyDescent="0.2">
      <c r="B16" s="6">
        <f>RANK('9oferty p.'!C15,'9oferty p.'!$C$3:'9oferty p.'!$C$28,1)+COUNTIF('9oferty p.'!$C$3:'9oferty p.'!C15,'9oferty p.'!C15)-1</f>
        <v>11</v>
      </c>
      <c r="C16" s="5" t="str">
        <f>INDEX('9oferty p.'!B3:G28,MATCH(13,B4:B29,0),1)</f>
        <v>kolbuszowski</v>
      </c>
      <c r="D16" s="6">
        <f>INDEX('9oferty p.'!B3:G28,MATCH(13,B4:B29,0),2)</f>
        <v>98</v>
      </c>
      <c r="E16" s="61">
        <f>INDEX('9oferty p.'!B3:G28,MATCH(13,B4:B29,0),3)</f>
        <v>90</v>
      </c>
      <c r="F16" s="6">
        <f>INDEX('9oferty p.'!B3:G28,MATCH(13,B4:B29,0),4)</f>
        <v>8</v>
      </c>
      <c r="G16" s="61">
        <f>INDEX('9oferty p.'!B3:G28,MATCH(13,B4:B29,0),5)</f>
        <v>125</v>
      </c>
      <c r="H16" s="6">
        <f>INDEX('9oferty p.'!B3:G28,MATCH(13,B4:B29,0),6)</f>
        <v>-27</v>
      </c>
    </row>
    <row r="17" spans="2:8" x14ac:dyDescent="0.2">
      <c r="B17" s="6">
        <f>RANK('9oferty p.'!C16,'9oferty p.'!$C$3:'9oferty p.'!$C$28,1)+COUNTIF('9oferty p.'!$C$3:'9oferty p.'!C16,'9oferty p.'!C16)-1</f>
        <v>1</v>
      </c>
      <c r="C17" s="5" t="str">
        <f>INDEX('9oferty p.'!B3:G28,MATCH(14,B4:B29,0),1)</f>
        <v>leżajski</v>
      </c>
      <c r="D17" s="6">
        <f>INDEX('9oferty p.'!B3:G28,MATCH(14,B4:B29,0),2)</f>
        <v>102</v>
      </c>
      <c r="E17" s="61">
        <f>INDEX('9oferty p.'!B3:G28,MATCH(14,B4:B29,0),3)</f>
        <v>59</v>
      </c>
      <c r="F17" s="6">
        <f>INDEX('9oferty p.'!B3:G28,MATCH(14,B4:B29,0),4)</f>
        <v>43</v>
      </c>
      <c r="G17" s="61">
        <f>INDEX('9oferty p.'!B3:G28,MATCH(14,B4:B29,0),5)</f>
        <v>104</v>
      </c>
      <c r="H17" s="6">
        <f>INDEX('9oferty p.'!B3:G28,MATCH(14,B4:B29,0),6)</f>
        <v>-2</v>
      </c>
    </row>
    <row r="18" spans="2:8" x14ac:dyDescent="0.2">
      <c r="B18" s="6">
        <f>RANK('9oferty p.'!C17,'9oferty p.'!$C$3:'9oferty p.'!$C$28,1)+COUNTIF('9oferty p.'!$C$3:'9oferty p.'!C17,'9oferty p.'!C17)-1</f>
        <v>19</v>
      </c>
      <c r="C18" s="5" t="str">
        <f>INDEX('9oferty p.'!B3:G28,MATCH(15,B4:B29,0),1)</f>
        <v>jarosławski</v>
      </c>
      <c r="D18" s="6">
        <f>INDEX('9oferty p.'!B3:G28,MATCH(15,B4:B29,0),2)</f>
        <v>116</v>
      </c>
      <c r="E18" s="61">
        <f>INDEX('9oferty p.'!B3:G28,MATCH(15,B4:B29,0),3)</f>
        <v>273</v>
      </c>
      <c r="F18" s="6">
        <f>INDEX('9oferty p.'!B3:G28,MATCH(15,B4:B29,0),4)</f>
        <v>-157</v>
      </c>
      <c r="G18" s="61">
        <f>INDEX('9oferty p.'!B3:G28,MATCH(15,B4:B29,0),5)</f>
        <v>173</v>
      </c>
      <c r="H18" s="6">
        <f>INDEX('9oferty p.'!B3:G28,MATCH(15,B4:B29,0),6)</f>
        <v>-57</v>
      </c>
    </row>
    <row r="19" spans="2:8" x14ac:dyDescent="0.2">
      <c r="B19" s="6">
        <f>RANK('9oferty p.'!C18,'9oferty p.'!$C$3:'9oferty p.'!$C$28,1)+COUNTIF('9oferty p.'!$C$3:'9oferty p.'!C18,'9oferty p.'!C18)-1</f>
        <v>17</v>
      </c>
      <c r="C19" s="5" t="str">
        <f>INDEX('9oferty p.'!B3:G28,MATCH(16,B4:B29,0),1)</f>
        <v xml:space="preserve">tarnobrzeski </v>
      </c>
      <c r="D19" s="6">
        <f>INDEX('9oferty p.'!B3:G28,MATCH(16,B4:B29,0),2)</f>
        <v>116</v>
      </c>
      <c r="E19" s="61">
        <f>INDEX('9oferty p.'!B3:G28,MATCH(16,B4:B29,0),3)</f>
        <v>91</v>
      </c>
      <c r="F19" s="6">
        <f>INDEX('9oferty p.'!B3:G28,MATCH(16,B4:B29,0),4)</f>
        <v>25</v>
      </c>
      <c r="G19" s="61">
        <f>INDEX('9oferty p.'!B3:G28,MATCH(16,B4:B29,0),5)</f>
        <v>195</v>
      </c>
      <c r="H19" s="6">
        <f>INDEX('9oferty p.'!B3:G28,MATCH(16,B4:B29,0),6)</f>
        <v>-79</v>
      </c>
    </row>
    <row r="20" spans="2:8" x14ac:dyDescent="0.2">
      <c r="B20" s="6">
        <f>RANK('9oferty p.'!C19,'9oferty p.'!$C$3:'9oferty p.'!$C$28,1)+COUNTIF('9oferty p.'!$C$3:'9oferty p.'!C19,'9oferty p.'!C19)-1</f>
        <v>20</v>
      </c>
      <c r="C20" s="5" t="str">
        <f>INDEX('9oferty p.'!B3:G28,MATCH(17,B4:B29,0),1)</f>
        <v>ropczycko-sędziszowski</v>
      </c>
      <c r="D20" s="6">
        <f>INDEX('9oferty p.'!B3:G28,MATCH(17,B4:B29,0),2)</f>
        <v>137</v>
      </c>
      <c r="E20" s="61">
        <f>INDEX('9oferty p.'!B3:G28,MATCH(17,B4:B29,0),3)</f>
        <v>83</v>
      </c>
      <c r="F20" s="6">
        <f>INDEX('9oferty p.'!B3:G28,MATCH(17,B4:B29,0),4)</f>
        <v>54</v>
      </c>
      <c r="G20" s="61">
        <f>INDEX('9oferty p.'!B3:G28,MATCH(17,B4:B29,0),5)</f>
        <v>159</v>
      </c>
      <c r="H20" s="6">
        <f>INDEX('9oferty p.'!B3:G28,MATCH(17,B4:B29,0),6)</f>
        <v>-22</v>
      </c>
    </row>
    <row r="21" spans="2:8" x14ac:dyDescent="0.2">
      <c r="B21" s="6">
        <f>RANK('9oferty p.'!C20,'9oferty p.'!$C$3:'9oferty p.'!$C$28,1)+COUNTIF('9oferty p.'!$C$3:'9oferty p.'!C20,'9oferty p.'!C20)-1</f>
        <v>8</v>
      </c>
      <c r="C21" s="5" t="str">
        <f>INDEX('9oferty p.'!B3:G28,MATCH(18,B4:B29,0),1)</f>
        <v>stalowowolski</v>
      </c>
      <c r="D21" s="6">
        <f>INDEX('9oferty p.'!B3:G28,MATCH(18,B4:B29,0),2)</f>
        <v>152</v>
      </c>
      <c r="E21" s="61">
        <f>INDEX('9oferty p.'!B3:G28,MATCH(18,B4:B29,0),3)</f>
        <v>96</v>
      </c>
      <c r="F21" s="6">
        <f>INDEX('9oferty p.'!B3:G28,MATCH(18,B4:B29,0),4)</f>
        <v>56</v>
      </c>
      <c r="G21" s="61">
        <f>INDEX('9oferty p.'!B3:G28,MATCH(18,B4:B29,0),5)</f>
        <v>143</v>
      </c>
      <c r="H21" s="6">
        <f>INDEX('9oferty p.'!B3:G28,MATCH(18,B4:B29,0),6)</f>
        <v>9</v>
      </c>
    </row>
    <row r="22" spans="2:8" x14ac:dyDescent="0.2">
      <c r="B22" s="6">
        <f>RANK('9oferty p.'!C21,'9oferty p.'!$C$3:'9oferty p.'!$C$28,1)+COUNTIF('9oferty p.'!$C$3:'9oferty p.'!C21,'9oferty p.'!C21)-1</f>
        <v>18</v>
      </c>
      <c r="C22" s="5" t="str">
        <f>INDEX('9oferty p.'!B3:G28,MATCH(19,B4:B29,0),1)</f>
        <v>przeworski</v>
      </c>
      <c r="D22" s="6">
        <f>INDEX('9oferty p.'!B3:G28,MATCH(19,B4:B29,0),2)</f>
        <v>168</v>
      </c>
      <c r="E22" s="61">
        <f>INDEX('9oferty p.'!B3:G28,MATCH(19,B4:B29,0),3)</f>
        <v>282</v>
      </c>
      <c r="F22" s="6">
        <f>INDEX('9oferty p.'!B3:G28,MATCH(19,B4:B29,0),4)</f>
        <v>-114</v>
      </c>
      <c r="G22" s="61">
        <f>INDEX('9oferty p.'!B3:G28,MATCH(19,B4:B29,0),5)</f>
        <v>178</v>
      </c>
      <c r="H22" s="6">
        <f>INDEX('9oferty p.'!B3:G28,MATCH(19,B4:B29,0),6)</f>
        <v>-10</v>
      </c>
    </row>
    <row r="23" spans="2:8" x14ac:dyDescent="0.2">
      <c r="B23" s="6">
        <f>RANK('9oferty p.'!C22,'9oferty p.'!$C$3:'9oferty p.'!$C$28,1)+COUNTIF('9oferty p.'!$C$3:'9oferty p.'!C22,'9oferty p.'!C22)-1</f>
        <v>21</v>
      </c>
      <c r="C23" s="5" t="str">
        <f>INDEX('9oferty p.'!B3:G28,MATCH(20,B4:B29,0),1)</f>
        <v>rzeszowski</v>
      </c>
      <c r="D23" s="6">
        <f>INDEX('9oferty p.'!B3:G28,MATCH(20,B4:B29,0),2)</f>
        <v>184</v>
      </c>
      <c r="E23" s="61">
        <f>INDEX('9oferty p.'!B3:G28,MATCH(20,B4:B29,0),3)</f>
        <v>155</v>
      </c>
      <c r="F23" s="6">
        <f>INDEX('9oferty p.'!B3:G28,MATCH(20,B4:B29,0),4)</f>
        <v>29</v>
      </c>
      <c r="G23" s="61">
        <f>INDEX('9oferty p.'!B3:G28,MATCH(20,B4:B29,0),5)</f>
        <v>183</v>
      </c>
      <c r="H23" s="6">
        <f>INDEX('9oferty p.'!B3:G28,MATCH(20,B4:B29,0),6)</f>
        <v>1</v>
      </c>
    </row>
    <row r="24" spans="2:8" x14ac:dyDescent="0.2">
      <c r="B24" s="6">
        <f>RANK('9oferty p.'!C23,'9oferty p.'!$C$3:'9oferty p.'!$C$28,1)+COUNTIF('9oferty p.'!$C$3:'9oferty p.'!C23,'9oferty p.'!C23)-1</f>
        <v>16</v>
      </c>
      <c r="C24" s="5" t="str">
        <f>INDEX('9oferty p.'!B3:G28,MATCH(21,B4:B29,0),1)</f>
        <v>strzyżowski</v>
      </c>
      <c r="D24" s="6">
        <f>INDEX('9oferty p.'!B3:G28,MATCH(21,B4:B29,0),2)</f>
        <v>192</v>
      </c>
      <c r="E24" s="61">
        <f>INDEX('9oferty p.'!B3:G28,MATCH(21,B4:B29,0),3)</f>
        <v>144</v>
      </c>
      <c r="F24" s="6">
        <f>INDEX('9oferty p.'!B3:G28,MATCH(21,B4:B29,0),4)</f>
        <v>48</v>
      </c>
      <c r="G24" s="61">
        <f>INDEX('9oferty p.'!B3:G28,MATCH(21,B4:B29,0),5)</f>
        <v>179</v>
      </c>
      <c r="H24" s="6">
        <f>INDEX('9oferty p.'!B3:G28,MATCH(21,B4:B29,0),6)</f>
        <v>13</v>
      </c>
    </row>
    <row r="25" spans="2:8" x14ac:dyDescent="0.2">
      <c r="B25" s="6">
        <f>RANK('9oferty p.'!C24,'9oferty p.'!$C$3:'9oferty p.'!$C$28,1)+COUNTIF('9oferty p.'!$C$3:'9oferty p.'!C24,'9oferty p.'!C24)-1</f>
        <v>7</v>
      </c>
      <c r="C25" s="5" t="str">
        <f>INDEX('9oferty p.'!B3:G28,MATCH(22,B4:B29,0),1)</f>
        <v>jasielski</v>
      </c>
      <c r="D25" s="6">
        <f>INDEX('9oferty p.'!B3:G28,MATCH(22,B4:B29,0),2)</f>
        <v>233</v>
      </c>
      <c r="E25" s="61">
        <f>INDEX('9oferty p.'!B3:G28,MATCH(22,B4:B29,0),3)</f>
        <v>191</v>
      </c>
      <c r="F25" s="6">
        <f>INDEX('9oferty p.'!B3:G28,MATCH(22,B4:B29,0),4)</f>
        <v>42</v>
      </c>
      <c r="G25" s="61">
        <f>INDEX('9oferty p.'!B3:G28,MATCH(22,B4:B29,0),5)</f>
        <v>178</v>
      </c>
      <c r="H25" s="6">
        <f>INDEX('9oferty p.'!B3:G28,MATCH(22,B4:B29,0),6)</f>
        <v>55</v>
      </c>
    </row>
    <row r="26" spans="2:8" x14ac:dyDescent="0.2">
      <c r="B26" s="6">
        <f>RANK('9oferty p.'!C25,'9oferty p.'!$C$3:'9oferty p.'!$C$28,1)+COUNTIF('9oferty p.'!$C$3:'9oferty p.'!C25,'9oferty p.'!C25)-1</f>
        <v>5</v>
      </c>
      <c r="C26" s="5" t="str">
        <f>INDEX('9oferty p.'!B3:G28,MATCH(23,B4:B29,0),1)</f>
        <v>dębicki</v>
      </c>
      <c r="D26" s="6">
        <f>INDEX('9oferty p.'!B3:G28,MATCH(23,B4:B29,0),2)</f>
        <v>287</v>
      </c>
      <c r="E26" s="61">
        <f>INDEX('9oferty p.'!B3:G28,MATCH(23,B4:B29,0),3)</f>
        <v>220</v>
      </c>
      <c r="F26" s="6">
        <f>INDEX('9oferty p.'!B3:G28,MATCH(23,B4:B29,0),4)</f>
        <v>67</v>
      </c>
      <c r="G26" s="61">
        <f>INDEX('9oferty p.'!B3:G28,MATCH(23,B4:B29,0),5)</f>
        <v>360</v>
      </c>
      <c r="H26" s="6">
        <f>INDEX('9oferty p.'!B3:G28,MATCH(23,B4:B29,0),6)</f>
        <v>-73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mielecki</v>
      </c>
      <c r="D27" s="6">
        <f>INDEX('9oferty p.'!B3:G28,MATCH(24,B4:B29,0),2)</f>
        <v>312</v>
      </c>
      <c r="E27" s="61">
        <f>INDEX('9oferty p.'!B3:G28,MATCH(24,B4:B29,0),3)</f>
        <v>271</v>
      </c>
      <c r="F27" s="6">
        <f>INDEX('9oferty p.'!B3:G28,MATCH(24,B4:B29,0),4)</f>
        <v>41</v>
      </c>
      <c r="G27" s="61">
        <f>INDEX('9oferty p.'!B3:G28,MATCH(24,B4:B29,0),5)</f>
        <v>419</v>
      </c>
      <c r="H27" s="6">
        <f>INDEX('9oferty p.'!B3:G28,MATCH(24,B4:B29,0),6)</f>
        <v>-107</v>
      </c>
    </row>
    <row r="28" spans="2:8" x14ac:dyDescent="0.2">
      <c r="B28" s="6">
        <f>RANK('9oferty p.'!C27,'9oferty p.'!$C$3:'9oferty p.'!$C$28,1)+COUNTIF('9oferty p.'!$C$3:'9oferty p.'!C27,'9oferty p.'!C27)-1</f>
        <v>12</v>
      </c>
      <c r="C28" s="5" t="str">
        <f>INDEX('9oferty p.'!B3:G28,MATCH(25,B4:B29,0),1)</f>
        <v>Rzeszów</v>
      </c>
      <c r="D28" s="6">
        <f>INDEX('9oferty p.'!B3:G28,MATCH(25,B4:B29,0),2)</f>
        <v>728</v>
      </c>
      <c r="E28" s="61">
        <f>INDEX('9oferty p.'!B3:G28,MATCH(25,B4:B29,0),3)</f>
        <v>763</v>
      </c>
      <c r="F28" s="6">
        <f>INDEX('9oferty p.'!B3:G28,MATCH(25,B4:B29,0),4)</f>
        <v>-35</v>
      </c>
      <c r="G28" s="61">
        <f>INDEX('9oferty p.'!B3:G28,MATCH(25,B4:B29,0),5)</f>
        <v>558</v>
      </c>
      <c r="H28" s="6">
        <f>INDEX('9oferty p.'!B3:G28,MATCH(25,B4:B29,0),6)</f>
        <v>170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3633</v>
      </c>
      <c r="E29" s="63">
        <f>INDEX('9oferty p.'!B3:G28,MATCH(26,B4:B29,0),3)</f>
        <v>3534</v>
      </c>
      <c r="F29" s="59">
        <f>INDEX('9oferty p.'!B3:G28,MATCH(26,B4:B29,0),4)</f>
        <v>99</v>
      </c>
      <c r="G29" s="63">
        <f>INDEX('9oferty p.'!B3:G28,MATCH(26,B4:B29,0),5)</f>
        <v>3786</v>
      </c>
      <c r="H29" s="59">
        <f>INDEX('9oferty p.'!B3:G28,MATCH(26,B4:B29,0),6)</f>
        <v>-153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92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93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145</v>
      </c>
      <c r="D3" s="57" t="s">
        <v>126</v>
      </c>
      <c r="E3" s="56" t="s">
        <v>28</v>
      </c>
      <c r="F3" s="57" t="s">
        <v>144</v>
      </c>
      <c r="G3" s="56" t="s">
        <v>26</v>
      </c>
    </row>
    <row r="4" spans="2:11" x14ac:dyDescent="0.2">
      <c r="B4" s="5" t="s">
        <v>0</v>
      </c>
      <c r="C4" s="45">
        <v>34</v>
      </c>
      <c r="D4" s="61">
        <v>23</v>
      </c>
      <c r="E4" s="45">
        <f t="shared" ref="E4:E28" si="0">SUM(C4)-D4</f>
        <v>11</v>
      </c>
      <c r="F4" s="61">
        <v>35</v>
      </c>
      <c r="G4" s="45">
        <f t="shared" ref="G4:G28" si="1">SUM(C4)-F4</f>
        <v>-1</v>
      </c>
      <c r="H4" s="7"/>
    </row>
    <row r="5" spans="2:11" x14ac:dyDescent="0.2">
      <c r="B5" s="5" t="s">
        <v>1</v>
      </c>
      <c r="C5" s="45">
        <v>51</v>
      </c>
      <c r="D5" s="61">
        <v>52</v>
      </c>
      <c r="E5" s="45">
        <f t="shared" si="0"/>
        <v>-1</v>
      </c>
      <c r="F5" s="61">
        <v>51</v>
      </c>
      <c r="G5" s="45">
        <f t="shared" si="1"/>
        <v>0</v>
      </c>
      <c r="H5" s="7"/>
    </row>
    <row r="6" spans="2:11" x14ac:dyDescent="0.2">
      <c r="B6" s="5" t="s">
        <v>2</v>
      </c>
      <c r="C6" s="45">
        <v>69</v>
      </c>
      <c r="D6" s="61">
        <v>61</v>
      </c>
      <c r="E6" s="45">
        <f t="shared" si="0"/>
        <v>8</v>
      </c>
      <c r="F6" s="61">
        <v>85</v>
      </c>
      <c r="G6" s="45">
        <f t="shared" si="1"/>
        <v>-16</v>
      </c>
      <c r="H6" s="7"/>
    </row>
    <row r="7" spans="2:11" x14ac:dyDescent="0.2">
      <c r="B7" s="5" t="s">
        <v>3</v>
      </c>
      <c r="C7" s="45">
        <v>39</v>
      </c>
      <c r="D7" s="61">
        <v>89</v>
      </c>
      <c r="E7" s="45">
        <f t="shared" si="0"/>
        <v>-50</v>
      </c>
      <c r="F7" s="61">
        <v>98</v>
      </c>
      <c r="G7" s="45">
        <f t="shared" si="1"/>
        <v>-59</v>
      </c>
      <c r="H7" s="7"/>
    </row>
    <row r="8" spans="2:11" x14ac:dyDescent="0.2">
      <c r="B8" s="5" t="s">
        <v>4</v>
      </c>
      <c r="C8" s="45">
        <v>89</v>
      </c>
      <c r="D8" s="61">
        <v>109</v>
      </c>
      <c r="E8" s="45">
        <f t="shared" si="0"/>
        <v>-20</v>
      </c>
      <c r="F8" s="61">
        <v>118</v>
      </c>
      <c r="G8" s="45">
        <f t="shared" si="1"/>
        <v>-29</v>
      </c>
      <c r="H8" s="7"/>
    </row>
    <row r="9" spans="2:11" x14ac:dyDescent="0.2">
      <c r="B9" s="5" t="s">
        <v>5</v>
      </c>
      <c r="C9" s="45">
        <v>55</v>
      </c>
      <c r="D9" s="61">
        <v>59</v>
      </c>
      <c r="E9" s="45">
        <f t="shared" si="0"/>
        <v>-4</v>
      </c>
      <c r="F9" s="61">
        <v>60</v>
      </c>
      <c r="G9" s="45">
        <f t="shared" si="1"/>
        <v>-5</v>
      </c>
      <c r="H9" s="7"/>
    </row>
    <row r="10" spans="2:11" x14ac:dyDescent="0.2">
      <c r="B10" s="9" t="s">
        <v>6</v>
      </c>
      <c r="C10" s="45">
        <v>26</v>
      </c>
      <c r="D10" s="61">
        <v>31</v>
      </c>
      <c r="E10" s="45">
        <f t="shared" si="0"/>
        <v>-5</v>
      </c>
      <c r="F10" s="61">
        <v>22</v>
      </c>
      <c r="G10" s="45">
        <f t="shared" si="1"/>
        <v>4</v>
      </c>
      <c r="H10" s="7"/>
    </row>
    <row r="11" spans="2:11" x14ac:dyDescent="0.2">
      <c r="B11" s="5" t="s">
        <v>7</v>
      </c>
      <c r="C11" s="45">
        <v>19</v>
      </c>
      <c r="D11" s="61">
        <v>21</v>
      </c>
      <c r="E11" s="45">
        <f t="shared" si="0"/>
        <v>-2</v>
      </c>
      <c r="F11" s="61">
        <v>15</v>
      </c>
      <c r="G11" s="45">
        <f t="shared" si="1"/>
        <v>4</v>
      </c>
      <c r="H11" s="7"/>
    </row>
    <row r="12" spans="2:11" x14ac:dyDescent="0.2">
      <c r="B12" s="5" t="s">
        <v>8</v>
      </c>
      <c r="C12" s="45">
        <v>28</v>
      </c>
      <c r="D12" s="61">
        <v>42</v>
      </c>
      <c r="E12" s="45">
        <f t="shared" si="0"/>
        <v>-14</v>
      </c>
      <c r="F12" s="61">
        <v>50</v>
      </c>
      <c r="G12" s="45">
        <f t="shared" si="1"/>
        <v>-22</v>
      </c>
      <c r="H12" s="7"/>
    </row>
    <row r="13" spans="2:11" x14ac:dyDescent="0.2">
      <c r="B13" s="5" t="s">
        <v>9</v>
      </c>
      <c r="C13" s="45">
        <v>51</v>
      </c>
      <c r="D13" s="61">
        <v>44</v>
      </c>
      <c r="E13" s="45">
        <f t="shared" si="0"/>
        <v>7</v>
      </c>
      <c r="F13" s="61">
        <v>41</v>
      </c>
      <c r="G13" s="45">
        <f t="shared" si="1"/>
        <v>10</v>
      </c>
      <c r="H13" s="7"/>
    </row>
    <row r="14" spans="2:11" x14ac:dyDescent="0.2">
      <c r="B14" s="5" t="s">
        <v>10</v>
      </c>
      <c r="C14" s="45">
        <v>57</v>
      </c>
      <c r="D14" s="61">
        <v>34</v>
      </c>
      <c r="E14" s="45">
        <f t="shared" si="0"/>
        <v>23</v>
      </c>
      <c r="F14" s="61">
        <v>79</v>
      </c>
      <c r="G14" s="45">
        <f t="shared" si="1"/>
        <v>-22</v>
      </c>
      <c r="H14" s="7"/>
    </row>
    <row r="15" spans="2:11" x14ac:dyDescent="0.2">
      <c r="B15" s="5" t="s">
        <v>11</v>
      </c>
      <c r="C15" s="45">
        <v>73</v>
      </c>
      <c r="D15" s="61">
        <v>66</v>
      </c>
      <c r="E15" s="45">
        <f t="shared" si="0"/>
        <v>7</v>
      </c>
      <c r="F15" s="61">
        <v>159</v>
      </c>
      <c r="G15" s="45">
        <f t="shared" si="1"/>
        <v>-86</v>
      </c>
      <c r="H15" s="7"/>
    </row>
    <row r="16" spans="2:11" x14ac:dyDescent="0.2">
      <c r="B16" s="5" t="s">
        <v>12</v>
      </c>
      <c r="C16" s="45">
        <v>58</v>
      </c>
      <c r="D16" s="61">
        <v>51</v>
      </c>
      <c r="E16" s="45">
        <f t="shared" si="0"/>
        <v>7</v>
      </c>
      <c r="F16" s="61">
        <v>102</v>
      </c>
      <c r="G16" s="45">
        <f t="shared" si="1"/>
        <v>-44</v>
      </c>
      <c r="H16" s="7"/>
    </row>
    <row r="17" spans="2:8" x14ac:dyDescent="0.2">
      <c r="B17" s="5" t="s">
        <v>13</v>
      </c>
      <c r="C17" s="45">
        <v>27</v>
      </c>
      <c r="D17" s="61">
        <v>8</v>
      </c>
      <c r="E17" s="45">
        <f t="shared" si="0"/>
        <v>19</v>
      </c>
      <c r="F17" s="61">
        <v>27</v>
      </c>
      <c r="G17" s="45">
        <f t="shared" si="1"/>
        <v>0</v>
      </c>
      <c r="H17" s="7"/>
    </row>
    <row r="18" spans="2:8" x14ac:dyDescent="0.2">
      <c r="B18" s="5" t="s">
        <v>14</v>
      </c>
      <c r="C18" s="45">
        <v>50</v>
      </c>
      <c r="D18" s="61">
        <v>84</v>
      </c>
      <c r="E18" s="45">
        <f t="shared" si="0"/>
        <v>-34</v>
      </c>
      <c r="F18" s="61">
        <v>122</v>
      </c>
      <c r="G18" s="45">
        <f t="shared" si="1"/>
        <v>-72</v>
      </c>
      <c r="H18" s="7"/>
    </row>
    <row r="19" spans="2:8" x14ac:dyDescent="0.2">
      <c r="B19" s="5" t="s">
        <v>15</v>
      </c>
      <c r="C19" s="45">
        <v>35</v>
      </c>
      <c r="D19" s="61">
        <v>34</v>
      </c>
      <c r="E19" s="45">
        <f t="shared" si="0"/>
        <v>1</v>
      </c>
      <c r="F19" s="61">
        <v>89</v>
      </c>
      <c r="G19" s="45">
        <f t="shared" si="1"/>
        <v>-54</v>
      </c>
      <c r="H19" s="7"/>
    </row>
    <row r="20" spans="2:8" x14ac:dyDescent="0.2">
      <c r="B20" s="5" t="s">
        <v>16</v>
      </c>
      <c r="C20" s="45">
        <v>37</v>
      </c>
      <c r="D20" s="61">
        <v>37</v>
      </c>
      <c r="E20" s="45">
        <f t="shared" si="0"/>
        <v>0</v>
      </c>
      <c r="F20" s="61">
        <v>66</v>
      </c>
      <c r="G20" s="45">
        <f t="shared" si="1"/>
        <v>-29</v>
      </c>
      <c r="H20" s="7"/>
    </row>
    <row r="21" spans="2:8" x14ac:dyDescent="0.2">
      <c r="B21" s="5" t="s">
        <v>17</v>
      </c>
      <c r="C21" s="45">
        <v>42</v>
      </c>
      <c r="D21" s="61">
        <v>34</v>
      </c>
      <c r="E21" s="45">
        <f t="shared" si="0"/>
        <v>8</v>
      </c>
      <c r="F21" s="61">
        <v>55</v>
      </c>
      <c r="G21" s="45">
        <f t="shared" si="1"/>
        <v>-13</v>
      </c>
      <c r="H21" s="7"/>
    </row>
    <row r="22" spans="2:8" x14ac:dyDescent="0.2">
      <c r="B22" s="5" t="s">
        <v>18</v>
      </c>
      <c r="C22" s="45">
        <v>67</v>
      </c>
      <c r="D22" s="61">
        <v>34</v>
      </c>
      <c r="E22" s="45">
        <f t="shared" si="0"/>
        <v>33</v>
      </c>
      <c r="F22" s="61">
        <v>75</v>
      </c>
      <c r="G22" s="45">
        <f t="shared" si="1"/>
        <v>-8</v>
      </c>
      <c r="H22" s="7"/>
    </row>
    <row r="23" spans="2:8" x14ac:dyDescent="0.2">
      <c r="B23" s="5" t="s">
        <v>19</v>
      </c>
      <c r="C23" s="45">
        <v>122</v>
      </c>
      <c r="D23" s="61">
        <v>94</v>
      </c>
      <c r="E23" s="45">
        <f t="shared" si="0"/>
        <v>28</v>
      </c>
      <c r="F23" s="61">
        <v>93</v>
      </c>
      <c r="G23" s="45">
        <f t="shared" si="1"/>
        <v>29</v>
      </c>
      <c r="H23" s="7"/>
    </row>
    <row r="24" spans="2:8" x14ac:dyDescent="0.2">
      <c r="B24" s="5" t="s">
        <v>20</v>
      </c>
      <c r="C24" s="45">
        <v>49</v>
      </c>
      <c r="D24" s="61">
        <v>25</v>
      </c>
      <c r="E24" s="45">
        <f t="shared" si="0"/>
        <v>24</v>
      </c>
      <c r="F24" s="61">
        <v>71</v>
      </c>
      <c r="G24" s="45">
        <f t="shared" si="1"/>
        <v>-22</v>
      </c>
      <c r="H24" s="7"/>
    </row>
    <row r="25" spans="2:8" x14ac:dyDescent="0.2">
      <c r="B25" s="5" t="s">
        <v>21</v>
      </c>
      <c r="C25" s="45">
        <v>36</v>
      </c>
      <c r="D25" s="61">
        <v>29</v>
      </c>
      <c r="E25" s="45">
        <f t="shared" si="0"/>
        <v>7</v>
      </c>
      <c r="F25" s="61">
        <v>29</v>
      </c>
      <c r="G25" s="45">
        <f t="shared" si="1"/>
        <v>7</v>
      </c>
      <c r="H25" s="7"/>
    </row>
    <row r="26" spans="2:8" x14ac:dyDescent="0.2">
      <c r="B26" s="5" t="s">
        <v>22</v>
      </c>
      <c r="C26" s="45">
        <v>42</v>
      </c>
      <c r="D26" s="61">
        <v>36</v>
      </c>
      <c r="E26" s="45">
        <f t="shared" si="0"/>
        <v>6</v>
      </c>
      <c r="F26" s="61">
        <v>39</v>
      </c>
      <c r="G26" s="45">
        <f t="shared" si="1"/>
        <v>3</v>
      </c>
      <c r="H26" s="7"/>
    </row>
    <row r="27" spans="2:8" x14ac:dyDescent="0.2">
      <c r="B27" s="5" t="s">
        <v>23</v>
      </c>
      <c r="C27" s="45">
        <v>76</v>
      </c>
      <c r="D27" s="61">
        <v>123</v>
      </c>
      <c r="E27" s="45">
        <f t="shared" si="0"/>
        <v>-47</v>
      </c>
      <c r="F27" s="61">
        <v>114</v>
      </c>
      <c r="G27" s="45">
        <f t="shared" si="1"/>
        <v>-38</v>
      </c>
      <c r="H27" s="7"/>
    </row>
    <row r="28" spans="2:8" x14ac:dyDescent="0.2">
      <c r="B28" s="5" t="s">
        <v>24</v>
      </c>
      <c r="C28" s="45">
        <v>27</v>
      </c>
      <c r="D28" s="61">
        <v>20</v>
      </c>
      <c r="E28" s="45">
        <f t="shared" si="0"/>
        <v>7</v>
      </c>
      <c r="F28" s="61">
        <v>55</v>
      </c>
      <c r="G28" s="45">
        <f t="shared" si="1"/>
        <v>-28</v>
      </c>
      <c r="H28" s="7"/>
    </row>
    <row r="29" spans="2:8" ht="15" x14ac:dyDescent="0.25">
      <c r="B29" s="58" t="s">
        <v>25</v>
      </c>
      <c r="C29" s="78">
        <f>SUM(C4:C28)</f>
        <v>1259</v>
      </c>
      <c r="D29" s="63">
        <f>SUM(D4:D28)</f>
        <v>1240</v>
      </c>
      <c r="E29" s="78">
        <f>SUM(E4:E28)</f>
        <v>19</v>
      </c>
      <c r="F29" s="63">
        <f>SUM(F4:F28)</f>
        <v>1750</v>
      </c>
      <c r="G29" s="78">
        <f>SUM(G4:G28)</f>
        <v>-491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87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88</v>
      </c>
      <c r="C3" s="55" t="str">
        <f>T('10oferty s.'!B3)</f>
        <v>powiaty</v>
      </c>
      <c r="D3" s="55" t="str">
        <f>T('10oferty s.'!C3)</f>
        <v>liczba ofert w VIII '23 r.</v>
      </c>
      <c r="E3" s="55" t="str">
        <f>T('10oferty s.'!D3)</f>
        <v>liczba ofert w VII '23 r.</v>
      </c>
      <c r="F3" s="55" t="str">
        <f>T('10oferty s.'!E3)</f>
        <v>wzrost/spadek do poprzedniego  miesiąca</v>
      </c>
      <c r="G3" s="55" t="str">
        <f>T('10oferty s.'!F3)</f>
        <v>liczba ofert w VIII '22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6</v>
      </c>
      <c r="C4" s="5" t="str">
        <f>INDEX('10oferty s.'!B4:G29,MATCH(1,B4:B29,0),1)</f>
        <v>leski</v>
      </c>
      <c r="D4" s="25">
        <f>INDEX('10oferty s.'!B4:G29,MATCH(1,B4:B29,0),2)</f>
        <v>19</v>
      </c>
      <c r="E4" s="61">
        <f>INDEX('10oferty s.'!B4:G29,MATCH(1,B4:B29,0),3)</f>
        <v>21</v>
      </c>
      <c r="F4" s="6">
        <f>INDEX('10oferty s.'!B4:G29,MATCH(1,B4:B29,0),4)</f>
        <v>-2</v>
      </c>
      <c r="G4" s="61">
        <f>INDEX('10oferty s.'!B4:G29,MATCH(1,B4:B29,0),5)</f>
        <v>15</v>
      </c>
      <c r="H4" s="6">
        <f>INDEX('10oferty s.'!B4:G29,MATCH(1,B4:B29,0),6)</f>
        <v>4</v>
      </c>
    </row>
    <row r="5" spans="2:8" x14ac:dyDescent="0.2">
      <c r="B5" s="6">
        <f>RANK('10oferty s.'!C5,'10oferty s.'!$C$4:'10oferty s.'!$C$29,1)+COUNTIF('10oferty s.'!$C$4:'10oferty s.'!C5,'10oferty s.'!C5)-1</f>
        <v>15</v>
      </c>
      <c r="C5" s="5" t="str">
        <f>INDEX('10oferty s.'!B4:G29,MATCH(2,B4:B29,0),1)</f>
        <v>krośnieński</v>
      </c>
      <c r="D5" s="6">
        <f>INDEX('10oferty s.'!B4:G29,MATCH(2,B4:B29,0),2)</f>
        <v>26</v>
      </c>
      <c r="E5" s="61">
        <f>INDEX('10oferty s.'!B4:G29,MATCH(2,B4:B29,0),3)</f>
        <v>31</v>
      </c>
      <c r="F5" s="6">
        <f>INDEX('10oferty s.'!B4:G29,MATCH(2,B4:B29,0),4)</f>
        <v>-5</v>
      </c>
      <c r="G5" s="61">
        <f>INDEX('10oferty s.'!B4:G29,MATCH(2,B4:B29,0),5)</f>
        <v>22</v>
      </c>
      <c r="H5" s="6">
        <f>INDEX('10oferty s.'!B4:G29,MATCH(2,B4:B29,0),6)</f>
        <v>4</v>
      </c>
    </row>
    <row r="6" spans="2:8" x14ac:dyDescent="0.2">
      <c r="B6" s="6">
        <f>RANK('10oferty s.'!C6,'10oferty s.'!$C$4:'10oferty s.'!$C$29,1)+COUNTIF('10oferty s.'!$C$4:'10oferty s.'!C6,'10oferty s.'!C6)-1</f>
        <v>21</v>
      </c>
      <c r="C6" s="5" t="str">
        <f>INDEX('10oferty s.'!B4:G29,MATCH(3,B4:B29,0),1)</f>
        <v>przemyski</v>
      </c>
      <c r="D6" s="6">
        <f>INDEX('10oferty s.'!B4:G29,MATCH(3,B4:B29,0),2)</f>
        <v>27</v>
      </c>
      <c r="E6" s="61">
        <f>INDEX('10oferty s.'!B4:G29,MATCH(3,B4:B29,0),3)</f>
        <v>8</v>
      </c>
      <c r="F6" s="6">
        <f>INDEX('10oferty s.'!B4:G29,MATCH(3,B4:B29,0),4)</f>
        <v>19</v>
      </c>
      <c r="G6" s="61">
        <f>INDEX('10oferty s.'!B4:G29,MATCH(3,B4:B29,0),5)</f>
        <v>27</v>
      </c>
      <c r="H6" s="6">
        <f>INDEX('10oferty s.'!B4:G29,MATCH(3,B4:B29,0),6)</f>
        <v>0</v>
      </c>
    </row>
    <row r="7" spans="2:8" x14ac:dyDescent="0.2">
      <c r="B7" s="6">
        <f>RANK('10oferty s.'!C7,'10oferty s.'!$C$4:'10oferty s.'!$C$29,1)+COUNTIF('10oferty s.'!$C$4:'10oferty s.'!C7,'10oferty s.'!C7)-1</f>
        <v>10</v>
      </c>
      <c r="C7" s="5" t="str">
        <f>INDEX('10oferty s.'!B4:G29,MATCH(4,B4:B29,0),1)</f>
        <v>Tarnobrzeg</v>
      </c>
      <c r="D7" s="6">
        <f>INDEX('10oferty s.'!B4:G29,MATCH(4,B4:B29,0),2)</f>
        <v>27</v>
      </c>
      <c r="E7" s="61">
        <f>INDEX('10oferty s.'!B4:G29,MATCH(4,B4:B29,0),3)</f>
        <v>20</v>
      </c>
      <c r="F7" s="6">
        <f>INDEX('10oferty s.'!B4:G29,MATCH(4,B4:B29,0),4)</f>
        <v>7</v>
      </c>
      <c r="G7" s="61">
        <f>INDEX('10oferty s.'!B4:G29,MATCH(4,B4:B29,0),5)</f>
        <v>55</v>
      </c>
      <c r="H7" s="6">
        <f>INDEX('10oferty s.'!B4:G29,MATCH(4,B4:B29,0),6)</f>
        <v>-28</v>
      </c>
    </row>
    <row r="8" spans="2:8" x14ac:dyDescent="0.2">
      <c r="B8" s="6">
        <f>RANK('10oferty s.'!C8,'10oferty s.'!$C$4:'10oferty s.'!$C$29,1)+COUNTIF('10oferty s.'!$C$4:'10oferty s.'!C8,'10oferty s.'!C8)-1</f>
        <v>24</v>
      </c>
      <c r="C8" s="5" t="str">
        <f>INDEX('10oferty s.'!B4:G29,MATCH(5,B4:B29,0),1)</f>
        <v>leżajski</v>
      </c>
      <c r="D8" s="6">
        <f>INDEX('10oferty s.'!B4:G29,MATCH(5,B4:B29,0),2)</f>
        <v>28</v>
      </c>
      <c r="E8" s="61">
        <f>INDEX('10oferty s.'!B4:G29,MATCH(5,B4:B29,0),3)</f>
        <v>42</v>
      </c>
      <c r="F8" s="6">
        <f>INDEX('10oferty s.'!B4:G29,MATCH(5,B4:B29,0),4)</f>
        <v>-14</v>
      </c>
      <c r="G8" s="61">
        <f>INDEX('10oferty s.'!B4:G29,MATCH(5,B4:B29,0),5)</f>
        <v>50</v>
      </c>
      <c r="H8" s="6">
        <f>INDEX('10oferty s.'!B4:G29,MATCH(5,B4:B29,0),6)</f>
        <v>-22</v>
      </c>
    </row>
    <row r="9" spans="2:8" x14ac:dyDescent="0.2">
      <c r="B9" s="6">
        <f>RANK('10oferty s.'!C9,'10oferty s.'!$C$4:'10oferty s.'!$C$29,1)+COUNTIF('10oferty s.'!$C$4:'10oferty s.'!C9,'10oferty s.'!C9)-1</f>
        <v>17</v>
      </c>
      <c r="C9" s="5" t="str">
        <f>INDEX('10oferty s.'!B4:G29,MATCH(6,B4:B29,0),1)</f>
        <v>bieszczadzki</v>
      </c>
      <c r="D9" s="6">
        <f>INDEX('10oferty s.'!B4:G29,MATCH(6,B4:B29,0),2)</f>
        <v>34</v>
      </c>
      <c r="E9" s="61">
        <f>INDEX('10oferty s.'!B4:G29,MATCH(6,B4:B29,0),3)</f>
        <v>23</v>
      </c>
      <c r="F9" s="6">
        <f>INDEX('10oferty s.'!B4:G29,MATCH(6,B4:B29,0),4)</f>
        <v>11</v>
      </c>
      <c r="G9" s="61">
        <f>INDEX('10oferty s.'!B4:G29,MATCH(6,B4:B29,0),5)</f>
        <v>35</v>
      </c>
      <c r="H9" s="6">
        <f>INDEX('10oferty s.'!B4:G29,MATCH(6,B4:B29,0),6)</f>
        <v>-1</v>
      </c>
    </row>
    <row r="10" spans="2:8" x14ac:dyDescent="0.2">
      <c r="B10" s="6">
        <f>RANK('10oferty s.'!C10,'10oferty s.'!$C$4:'10oferty s.'!$C$29,1)+COUNTIF('10oferty s.'!$C$4:'10oferty s.'!C10,'10oferty s.'!C10)-1</f>
        <v>2</v>
      </c>
      <c r="C10" s="9" t="str">
        <f>INDEX('10oferty s.'!B4:G29,MATCH(7,B4:B29,0),1)</f>
        <v>ropczycko-sędziszowski</v>
      </c>
      <c r="D10" s="6">
        <f>INDEX('10oferty s.'!B4:G29,MATCH(7,B4:B29,0),2)</f>
        <v>35</v>
      </c>
      <c r="E10" s="61">
        <f>INDEX('10oferty s.'!B4:G29,MATCH(7,B4:B29,0),3)</f>
        <v>34</v>
      </c>
      <c r="F10" s="6">
        <f>INDEX('10oferty s.'!B4:G29,MATCH(7,B4:B29,0),4)</f>
        <v>1</v>
      </c>
      <c r="G10" s="61">
        <f>INDEX('10oferty s.'!B4:G29,MATCH(7,B4:B29,0),5)</f>
        <v>89</v>
      </c>
      <c r="H10" s="6">
        <f>INDEX('10oferty s.'!B4:G29,MATCH(7,B4:B29,0),6)</f>
        <v>-54</v>
      </c>
    </row>
    <row r="11" spans="2:8" x14ac:dyDescent="0.2">
      <c r="B11" s="6">
        <f>RANK('10oferty s.'!C11,'10oferty s.'!$C$4:'10oferty s.'!$C$29,1)+COUNTIF('10oferty s.'!$C$4:'10oferty s.'!C11,'10oferty s.'!C11)-1</f>
        <v>1</v>
      </c>
      <c r="C11" s="5" t="str">
        <f>INDEX('10oferty s.'!B4:G29,MATCH(8,B4:B29,0),1)</f>
        <v>Krosno</v>
      </c>
      <c r="D11" s="6">
        <f>INDEX('10oferty s.'!B4:G29,MATCH(8,B4:B29,0),2)</f>
        <v>36</v>
      </c>
      <c r="E11" s="61">
        <f>INDEX('10oferty s.'!B4:G29,MATCH(8,B4:B29,0),3)</f>
        <v>29</v>
      </c>
      <c r="F11" s="6">
        <f>INDEX('10oferty s.'!B4:G29,MATCH(8,B4:B29,0),4)</f>
        <v>7</v>
      </c>
      <c r="G11" s="61">
        <f>INDEX('10oferty s.'!B4:G29,MATCH(8,B4:B29,0),5)</f>
        <v>29</v>
      </c>
      <c r="H11" s="6">
        <f>INDEX('10oferty s.'!B4:G29,MATCH(8,B4:B29,0),6)</f>
        <v>7</v>
      </c>
    </row>
    <row r="12" spans="2:8" x14ac:dyDescent="0.2">
      <c r="B12" s="6">
        <f>RANK('10oferty s.'!C12,'10oferty s.'!$C$4:'10oferty s.'!$C$29,1)+COUNTIF('10oferty s.'!$C$4:'10oferty s.'!C12,'10oferty s.'!C12)-1</f>
        <v>5</v>
      </c>
      <c r="C12" s="5" t="str">
        <f>INDEX('10oferty s.'!B4:G29,MATCH(9,B4:B29,0),1)</f>
        <v>rzeszowski</v>
      </c>
      <c r="D12" s="6">
        <f>INDEX('10oferty s.'!B4:G29,MATCH(9,B4:B29,0),2)</f>
        <v>37</v>
      </c>
      <c r="E12" s="61">
        <f>INDEX('10oferty s.'!B4:G29,MATCH(9,B4:B29,0),3)</f>
        <v>37</v>
      </c>
      <c r="F12" s="6">
        <f>INDEX('10oferty s.'!B4:G29,MATCH(9,B4:B29,0),4)</f>
        <v>0</v>
      </c>
      <c r="G12" s="61">
        <f>INDEX('10oferty s.'!B4:G29,MATCH(9,B4:B29,0),5)</f>
        <v>66</v>
      </c>
      <c r="H12" s="6">
        <f>INDEX('10oferty s.'!B4:G29,MATCH(9,B4:B29,0),6)</f>
        <v>-29</v>
      </c>
    </row>
    <row r="13" spans="2:8" x14ac:dyDescent="0.2">
      <c r="B13" s="6">
        <f>RANK('10oferty s.'!C13,'10oferty s.'!$C$4:'10oferty s.'!$C$29,1)+COUNTIF('10oferty s.'!$C$4:'10oferty s.'!C13,'10oferty s.'!C13)-1</f>
        <v>16</v>
      </c>
      <c r="C13" s="5" t="str">
        <f>INDEX('10oferty s.'!B4:G29,MATCH(10,B4:B29,0),1)</f>
        <v>jarosławski</v>
      </c>
      <c r="D13" s="6">
        <f>INDEX('10oferty s.'!B4:G29,MATCH(10,B4:B29,0),2)</f>
        <v>39</v>
      </c>
      <c r="E13" s="61">
        <f>INDEX('10oferty s.'!B4:G29,MATCH(10,B4:B29,0),3)</f>
        <v>89</v>
      </c>
      <c r="F13" s="6">
        <f>INDEX('10oferty s.'!B4:G29,MATCH(10,B4:B29,0),4)</f>
        <v>-50</v>
      </c>
      <c r="G13" s="61">
        <f>INDEX('10oferty s.'!B4:G29,MATCH(10,B4:B29,0),5)</f>
        <v>98</v>
      </c>
      <c r="H13" s="6">
        <f>INDEX('10oferty s.'!B4:G29,MATCH(10,B4:B29,0),6)</f>
        <v>-59</v>
      </c>
    </row>
    <row r="14" spans="2:8" x14ac:dyDescent="0.2">
      <c r="B14" s="6">
        <f>RANK('10oferty s.'!C14,'10oferty s.'!$C$4:'10oferty s.'!$C$29,1)+COUNTIF('10oferty s.'!$C$4:'10oferty s.'!C14,'10oferty s.'!C14)-1</f>
        <v>18</v>
      </c>
      <c r="C14" s="5" t="str">
        <f>INDEX('10oferty s.'!B4:G29,MATCH(11,B4:B29,0),1)</f>
        <v>sanocki</v>
      </c>
      <c r="D14" s="6">
        <f>INDEX('10oferty s.'!B4:G29,MATCH(11,B4:B29,0),2)</f>
        <v>42</v>
      </c>
      <c r="E14" s="61">
        <f>INDEX('10oferty s.'!B4:G29,MATCH(11,B4:B29,0),3)</f>
        <v>34</v>
      </c>
      <c r="F14" s="6">
        <f>INDEX('10oferty s.'!B4:G29,MATCH(11,B4:B29,0),4)</f>
        <v>8</v>
      </c>
      <c r="G14" s="61">
        <f>INDEX('10oferty s.'!B4:G29,MATCH(11,B4:B29,0),5)</f>
        <v>55</v>
      </c>
      <c r="H14" s="6">
        <f>INDEX('10oferty s.'!B4:G29,MATCH(11,B4:B29,0),6)</f>
        <v>-13</v>
      </c>
    </row>
    <row r="15" spans="2:8" x14ac:dyDescent="0.2">
      <c r="B15" s="6">
        <f>RANK('10oferty s.'!C15,'10oferty s.'!$C$4:'10oferty s.'!$C$29,1)+COUNTIF('10oferty s.'!$C$4:'10oferty s.'!C15,'10oferty s.'!C15)-1</f>
        <v>22</v>
      </c>
      <c r="C15" s="5" t="str">
        <f>INDEX('10oferty s.'!B4:G29,MATCH(12,B4:B29,0),1)</f>
        <v>Przemyśl</v>
      </c>
      <c r="D15" s="6">
        <f>INDEX('10oferty s.'!B4:G29,MATCH(12,B4:B29,0),2)</f>
        <v>42</v>
      </c>
      <c r="E15" s="61">
        <f>INDEX('10oferty s.'!B4:G29,MATCH(12,B4:B29,0),3)</f>
        <v>36</v>
      </c>
      <c r="F15" s="6">
        <f>INDEX('10oferty s.'!B4:G29,MATCH(12,B4:B29,0),4)</f>
        <v>6</v>
      </c>
      <c r="G15" s="61">
        <f>INDEX('10oferty s.'!B4:G29,MATCH(12,B4:B29,0),5)</f>
        <v>39</v>
      </c>
      <c r="H15" s="6">
        <f>INDEX('10oferty s.'!B4:G29,MATCH(12,B4:B29,0),6)</f>
        <v>3</v>
      </c>
    </row>
    <row r="16" spans="2:8" x14ac:dyDescent="0.2">
      <c r="B16" s="6">
        <f>RANK('10oferty s.'!C16,'10oferty s.'!$C$4:'10oferty s.'!$C$29,1)+COUNTIF('10oferty s.'!$C$4:'10oferty s.'!C16,'10oferty s.'!C16)-1</f>
        <v>19</v>
      </c>
      <c r="C16" s="5" t="str">
        <f>INDEX('10oferty s.'!B4:G29,MATCH(13,B4:B29,0),1)</f>
        <v xml:space="preserve">tarnobrzeski </v>
      </c>
      <c r="D16" s="6">
        <f>INDEX('10oferty s.'!B4:G29,MATCH(13,B4:B29,0),2)</f>
        <v>49</v>
      </c>
      <c r="E16" s="61">
        <f>INDEX('10oferty s.'!B4:G29,MATCH(13,B4:B29,0),3)</f>
        <v>25</v>
      </c>
      <c r="F16" s="6">
        <f>INDEX('10oferty s.'!B4:G29,MATCH(13,B4:B29,0),4)</f>
        <v>24</v>
      </c>
      <c r="G16" s="61">
        <f>INDEX('10oferty s.'!B4:G29,MATCH(13,B4:B29,0),5)</f>
        <v>71</v>
      </c>
      <c r="H16" s="6">
        <f>INDEX('10oferty s.'!B4:G29,MATCH(13,B4:B29,0),6)</f>
        <v>-22</v>
      </c>
    </row>
    <row r="17" spans="2:8" x14ac:dyDescent="0.2">
      <c r="B17" s="6">
        <f>RANK('10oferty s.'!C17,'10oferty s.'!$C$4:'10oferty s.'!$C$29,1)+COUNTIF('10oferty s.'!$C$4:'10oferty s.'!C17,'10oferty s.'!C17)-1</f>
        <v>3</v>
      </c>
      <c r="C17" s="5" t="str">
        <f>INDEX('10oferty s.'!B4:G29,MATCH(14,B4:B29,0),1)</f>
        <v>przeworski</v>
      </c>
      <c r="D17" s="6">
        <f>INDEX('10oferty s.'!B4:G29,MATCH(14,B4:B29,0),2)</f>
        <v>50</v>
      </c>
      <c r="E17" s="61">
        <f>INDEX('10oferty s.'!B4:G29,MATCH(14,B4:B29,0),3)</f>
        <v>84</v>
      </c>
      <c r="F17" s="6">
        <f>INDEX('10oferty s.'!B4:G29,MATCH(14,B4:B29,0),4)</f>
        <v>-34</v>
      </c>
      <c r="G17" s="61">
        <f>INDEX('10oferty s.'!B4:G29,MATCH(14,B4:B29,0),5)</f>
        <v>122</v>
      </c>
      <c r="H17" s="6">
        <f>INDEX('10oferty s.'!B4:G29,MATCH(14,B4:B29,0),6)</f>
        <v>-72</v>
      </c>
    </row>
    <row r="18" spans="2:8" x14ac:dyDescent="0.2">
      <c r="B18" s="6">
        <f>RANK('10oferty s.'!C18,'10oferty s.'!$C$4:'10oferty s.'!$C$29,1)+COUNTIF('10oferty s.'!$C$4:'10oferty s.'!C18,'10oferty s.'!C18)-1</f>
        <v>14</v>
      </c>
      <c r="C18" s="5" t="str">
        <f>INDEX('10oferty s.'!B4:G29,MATCH(15,B4:B29,0),1)</f>
        <v>brzozowski</v>
      </c>
      <c r="D18" s="6">
        <f>INDEX('10oferty s.'!B4:G29,MATCH(15,B4:B29,0),2)</f>
        <v>51</v>
      </c>
      <c r="E18" s="61">
        <f>INDEX('10oferty s.'!B4:G29,MATCH(15,B4:B29,0),3)</f>
        <v>52</v>
      </c>
      <c r="F18" s="6">
        <f>INDEX('10oferty s.'!B4:G29,MATCH(15,B4:B29,0),4)</f>
        <v>-1</v>
      </c>
      <c r="G18" s="61">
        <f>INDEX('10oferty s.'!B4:G29,MATCH(15,B4:B29,0),5)</f>
        <v>51</v>
      </c>
      <c r="H18" s="6">
        <f>INDEX('10oferty s.'!B4:G29,MATCH(15,B4:B29,0),6)</f>
        <v>0</v>
      </c>
    </row>
    <row r="19" spans="2:8" x14ac:dyDescent="0.2">
      <c r="B19" s="6">
        <f>RANK('10oferty s.'!C19,'10oferty s.'!$C$4:'10oferty s.'!$C$29,1)+COUNTIF('10oferty s.'!$C$4:'10oferty s.'!C19,'10oferty s.'!C19)-1</f>
        <v>7</v>
      </c>
      <c r="C19" s="5" t="str">
        <f>INDEX('10oferty s.'!B4:G29,MATCH(16,B4:B29,0),1)</f>
        <v>lubaczowski</v>
      </c>
      <c r="D19" s="6">
        <f>INDEX('10oferty s.'!B4:G29,MATCH(16,B4:B29,0),2)</f>
        <v>51</v>
      </c>
      <c r="E19" s="61">
        <f>INDEX('10oferty s.'!B4:G29,MATCH(16,B4:B29,0),3)</f>
        <v>44</v>
      </c>
      <c r="F19" s="6">
        <f>INDEX('10oferty s.'!B4:G29,MATCH(16,B4:B29,0),4)</f>
        <v>7</v>
      </c>
      <c r="G19" s="61">
        <f>INDEX('10oferty s.'!B4:G29,MATCH(16,B4:B29,0),5)</f>
        <v>41</v>
      </c>
      <c r="H19" s="6">
        <f>INDEX('10oferty s.'!B4:G29,MATCH(16,B4:B29,0),6)</f>
        <v>10</v>
      </c>
    </row>
    <row r="20" spans="2:8" x14ac:dyDescent="0.2">
      <c r="B20" s="6">
        <f>RANK('10oferty s.'!C20,'10oferty s.'!$C$4:'10oferty s.'!$C$29,1)+COUNTIF('10oferty s.'!$C$4:'10oferty s.'!C20,'10oferty s.'!C20)-1</f>
        <v>9</v>
      </c>
      <c r="C20" s="5" t="str">
        <f>INDEX('10oferty s.'!B4:G29,MATCH(17,B4:B29,0),1)</f>
        <v>kolbuszowski</v>
      </c>
      <c r="D20" s="6">
        <f>INDEX('10oferty s.'!B4:G29,MATCH(17,B4:B29,0),2)</f>
        <v>55</v>
      </c>
      <c r="E20" s="61">
        <f>INDEX('10oferty s.'!B4:G29,MATCH(17,B4:B29,0),3)</f>
        <v>59</v>
      </c>
      <c r="F20" s="6">
        <f>INDEX('10oferty s.'!B4:G29,MATCH(17,B4:B29,0),4)</f>
        <v>-4</v>
      </c>
      <c r="G20" s="61">
        <f>INDEX('10oferty s.'!B4:G29,MATCH(17,B4:B29,0),5)</f>
        <v>60</v>
      </c>
      <c r="H20" s="6">
        <f>INDEX('10oferty s.'!B4:G29,MATCH(17,B4:B29,0),6)</f>
        <v>-5</v>
      </c>
    </row>
    <row r="21" spans="2:8" x14ac:dyDescent="0.2">
      <c r="B21" s="6">
        <f>RANK('10oferty s.'!C21,'10oferty s.'!$C$4:'10oferty s.'!$C$29,1)+COUNTIF('10oferty s.'!$C$4:'10oferty s.'!C21,'10oferty s.'!C21)-1</f>
        <v>11</v>
      </c>
      <c r="C21" s="5" t="str">
        <f>INDEX('10oferty s.'!B4:G29,MATCH(18,B4:B29,0),1)</f>
        <v>łańcucki</v>
      </c>
      <c r="D21" s="6">
        <f>INDEX('10oferty s.'!B4:G29,MATCH(18,B4:B29,0),2)</f>
        <v>57</v>
      </c>
      <c r="E21" s="61">
        <f>INDEX('10oferty s.'!B4:G29,MATCH(18,B4:B29,0),3)</f>
        <v>34</v>
      </c>
      <c r="F21" s="6">
        <f>INDEX('10oferty s.'!B4:G29,MATCH(18,B4:B29,0),4)</f>
        <v>23</v>
      </c>
      <c r="G21" s="61">
        <f>INDEX('10oferty s.'!B4:G29,MATCH(18,B4:B29,0),5)</f>
        <v>79</v>
      </c>
      <c r="H21" s="6">
        <f>INDEX('10oferty s.'!B4:G29,MATCH(18,B4:B29,0),6)</f>
        <v>-22</v>
      </c>
    </row>
    <row r="22" spans="2:8" x14ac:dyDescent="0.2">
      <c r="B22" s="6">
        <f>RANK('10oferty s.'!C22,'10oferty s.'!$C$4:'10oferty s.'!$C$29,1)+COUNTIF('10oferty s.'!$C$4:'10oferty s.'!C22,'10oferty s.'!C22)-1</f>
        <v>20</v>
      </c>
      <c r="C22" s="5" t="str">
        <f>INDEX('10oferty s.'!B4:G29,MATCH(19,B4:B29,0),1)</f>
        <v>niżański</v>
      </c>
      <c r="D22" s="6">
        <f>INDEX('10oferty s.'!B4:G29,MATCH(19,B4:B29,0),2)</f>
        <v>58</v>
      </c>
      <c r="E22" s="61">
        <f>INDEX('10oferty s.'!B4:G29,MATCH(19,B4:B29,0),3)</f>
        <v>51</v>
      </c>
      <c r="F22" s="6">
        <f>INDEX('10oferty s.'!B4:G29,MATCH(19,B4:B29,0),4)</f>
        <v>7</v>
      </c>
      <c r="G22" s="61">
        <f>INDEX('10oferty s.'!B4:G29,MATCH(19,B4:B29,0),5)</f>
        <v>102</v>
      </c>
      <c r="H22" s="6">
        <f>INDEX('10oferty s.'!B4:G29,MATCH(19,B4:B29,0),6)</f>
        <v>-44</v>
      </c>
    </row>
    <row r="23" spans="2:8" x14ac:dyDescent="0.2">
      <c r="B23" s="6">
        <f>RANK('10oferty s.'!C23,'10oferty s.'!$C$4:'10oferty s.'!$C$29,1)+COUNTIF('10oferty s.'!$C$4:'10oferty s.'!C23,'10oferty s.'!C23)-1</f>
        <v>25</v>
      </c>
      <c r="C23" s="5" t="str">
        <f>INDEX('10oferty s.'!B4:G29,MATCH(20,B4:B29,0),1)</f>
        <v>stalowowolski</v>
      </c>
      <c r="D23" s="6">
        <f>INDEX('10oferty s.'!B4:G29,MATCH(20,B4:B29,0),2)</f>
        <v>67</v>
      </c>
      <c r="E23" s="61">
        <f>INDEX('10oferty s.'!B4:G29,MATCH(20,B4:B29,0),3)</f>
        <v>34</v>
      </c>
      <c r="F23" s="6">
        <f>INDEX('10oferty s.'!B4:G29,MATCH(20,B4:B29,0),4)</f>
        <v>33</v>
      </c>
      <c r="G23" s="61">
        <f>INDEX('10oferty s.'!B4:G29,MATCH(20,B4:B29,0),5)</f>
        <v>75</v>
      </c>
      <c r="H23" s="6">
        <f>INDEX('10oferty s.'!B4:G29,MATCH(20,B4:B29,0),6)</f>
        <v>-8</v>
      </c>
    </row>
    <row r="24" spans="2:8" x14ac:dyDescent="0.2">
      <c r="B24" s="6">
        <f>RANK('10oferty s.'!C24,'10oferty s.'!$C$4:'10oferty s.'!$C$29,1)+COUNTIF('10oferty s.'!$C$4:'10oferty s.'!C24,'10oferty s.'!C24)-1</f>
        <v>13</v>
      </c>
      <c r="C24" s="5" t="str">
        <f>INDEX('10oferty s.'!B4:G29,MATCH(21,B4:B29,0),1)</f>
        <v>dębicki</v>
      </c>
      <c r="D24" s="6">
        <f>INDEX('10oferty s.'!B4:G29,MATCH(21,B4:B29,0),2)</f>
        <v>69</v>
      </c>
      <c r="E24" s="61">
        <f>INDEX('10oferty s.'!B4:G29,MATCH(21,B4:B29,0),3)</f>
        <v>61</v>
      </c>
      <c r="F24" s="6">
        <f>INDEX('10oferty s.'!B4:G29,MATCH(21,B4:B29,0),4)</f>
        <v>8</v>
      </c>
      <c r="G24" s="61">
        <f>INDEX('10oferty s.'!B4:G29,MATCH(21,B4:B29,0),5)</f>
        <v>85</v>
      </c>
      <c r="H24" s="6">
        <f>INDEX('10oferty s.'!B4:G29,MATCH(21,B4:B29,0),6)</f>
        <v>-16</v>
      </c>
    </row>
    <row r="25" spans="2:8" x14ac:dyDescent="0.2">
      <c r="B25" s="6">
        <f>RANK('10oferty s.'!C25,'10oferty s.'!$C$4:'10oferty s.'!$C$29,1)+COUNTIF('10oferty s.'!$C$4:'10oferty s.'!C25,'10oferty s.'!C25)-1</f>
        <v>8</v>
      </c>
      <c r="C25" s="5" t="str">
        <f>INDEX('10oferty s.'!B4:G29,MATCH(22,B4:B29,0),1)</f>
        <v>mielecki</v>
      </c>
      <c r="D25" s="6">
        <f>INDEX('10oferty s.'!B4:G29,MATCH(22,B4:B29,0),2)</f>
        <v>73</v>
      </c>
      <c r="E25" s="61">
        <f>INDEX('10oferty s.'!B4:G29,MATCH(22,B4:B29,0),3)</f>
        <v>66</v>
      </c>
      <c r="F25" s="6">
        <f>INDEX('10oferty s.'!B4:G29,MATCH(22,B4:B29,0),4)</f>
        <v>7</v>
      </c>
      <c r="G25" s="61">
        <f>INDEX('10oferty s.'!B4:G29,MATCH(22,B4:B29,0),5)</f>
        <v>159</v>
      </c>
      <c r="H25" s="6">
        <f>INDEX('10oferty s.'!B4:G29,MATCH(22,B4:B29,0),6)</f>
        <v>-86</v>
      </c>
    </row>
    <row r="26" spans="2:8" x14ac:dyDescent="0.2">
      <c r="B26" s="6">
        <f>RANK('10oferty s.'!C26,'10oferty s.'!$C$4:'10oferty s.'!$C$29,1)+COUNTIF('10oferty s.'!$C$4:'10oferty s.'!C26,'10oferty s.'!C26)-1</f>
        <v>12</v>
      </c>
      <c r="C26" s="5" t="str">
        <f>INDEX('10oferty s.'!B4:G29,MATCH(23,B4:B29,0),1)</f>
        <v>Rzeszów</v>
      </c>
      <c r="D26" s="6">
        <f>INDEX('10oferty s.'!B4:G29,MATCH(23,B4:B29,0),2)</f>
        <v>76</v>
      </c>
      <c r="E26" s="61">
        <f>INDEX('10oferty s.'!B4:G29,MATCH(23,B4:B29,0),3)</f>
        <v>123</v>
      </c>
      <c r="F26" s="6">
        <f>INDEX('10oferty s.'!B4:G29,MATCH(23,B4:B29,0),4)</f>
        <v>-47</v>
      </c>
      <c r="G26" s="61">
        <f>INDEX('10oferty s.'!B4:G29,MATCH(23,B4:B29,0),5)</f>
        <v>114</v>
      </c>
      <c r="H26" s="6">
        <f>INDEX('10oferty s.'!B4:G29,MATCH(23,B4:B29,0),6)</f>
        <v>-38</v>
      </c>
    </row>
    <row r="27" spans="2:8" x14ac:dyDescent="0.2">
      <c r="B27" s="6">
        <f>RANK('10oferty s.'!C27,'10oferty s.'!$C$4:'10oferty s.'!$C$29,1)+COUNTIF('10oferty s.'!$C$4:'10oferty s.'!C27,'10oferty s.'!C27)-1</f>
        <v>23</v>
      </c>
      <c r="C27" s="5" t="str">
        <f>INDEX('10oferty s.'!B4:G29,MATCH(24,B4:B29,0),1)</f>
        <v>jasielski</v>
      </c>
      <c r="D27" s="6">
        <f>INDEX('10oferty s.'!B4:G29,MATCH(24,B4:B29,0),2)</f>
        <v>89</v>
      </c>
      <c r="E27" s="61">
        <f>INDEX('10oferty s.'!B4:G29,MATCH(24,B4:B29,0),3)</f>
        <v>109</v>
      </c>
      <c r="F27" s="6">
        <f>INDEX('10oferty s.'!B4:G29,MATCH(24,B4:B29,0),4)</f>
        <v>-20</v>
      </c>
      <c r="G27" s="61">
        <f>INDEX('10oferty s.'!B4:G29,MATCH(24,B4:B29,0),5)</f>
        <v>118</v>
      </c>
      <c r="H27" s="6">
        <f>INDEX('10oferty s.'!B4:G29,MATCH(24,B4:B29,0),6)</f>
        <v>-29</v>
      </c>
    </row>
    <row r="28" spans="2:8" x14ac:dyDescent="0.2">
      <c r="B28" s="6">
        <f>RANK('10oferty s.'!C28,'10oferty s.'!$C$4:'10oferty s.'!$C$29,1)+COUNTIF('10oferty s.'!$C$4:'10oferty s.'!C28,'10oferty s.'!C28)-1</f>
        <v>4</v>
      </c>
      <c r="C28" s="5" t="str">
        <f>INDEX('10oferty s.'!B4:G29,MATCH(25,B4:B29,0),1)</f>
        <v>strzyżowski</v>
      </c>
      <c r="D28" s="6">
        <f>INDEX('10oferty s.'!B4:G29,MATCH(25,B4:B29,0),2)</f>
        <v>122</v>
      </c>
      <c r="E28" s="61">
        <f>INDEX('10oferty s.'!B4:G29,MATCH(25,B4:B29,0),3)</f>
        <v>94</v>
      </c>
      <c r="F28" s="6">
        <f>INDEX('10oferty s.'!B4:G29,MATCH(25,B4:B29,0),4)</f>
        <v>28</v>
      </c>
      <c r="G28" s="61">
        <f>INDEX('10oferty s.'!B4:G29,MATCH(25,B4:B29,0),5)</f>
        <v>93</v>
      </c>
      <c r="H28" s="6">
        <f>INDEX('10oferty s.'!B4:G29,MATCH(25,B4:B29,0),6)</f>
        <v>29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1259</v>
      </c>
      <c r="E29" s="63">
        <f>INDEX('10oferty s.'!B4:G29,MATCH(26,B4:B29,0),3)</f>
        <v>1240</v>
      </c>
      <c r="F29" s="59">
        <f>INDEX('10oferty s.'!B4:G29,MATCH(26,B4:B29,0),4)</f>
        <v>19</v>
      </c>
      <c r="G29" s="63">
        <f>INDEX('10oferty s.'!B4:G29,MATCH(26,B4:B29,0),5)</f>
        <v>1750</v>
      </c>
      <c r="H29" s="59">
        <f>INDEX('10oferty s.'!B4:G29,MATCH(26,B4:B29,0),6)</f>
        <v>-491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99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100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145</v>
      </c>
      <c r="D3" s="57" t="s">
        <v>126</v>
      </c>
      <c r="E3" s="56" t="s">
        <v>28</v>
      </c>
      <c r="F3" s="57" t="s">
        <v>144</v>
      </c>
      <c r="G3" s="56" t="s">
        <v>26</v>
      </c>
    </row>
    <row r="4" spans="2:11" x14ac:dyDescent="0.2">
      <c r="B4" s="5" t="s">
        <v>0</v>
      </c>
      <c r="C4" s="45">
        <v>19</v>
      </c>
      <c r="D4" s="61">
        <v>28</v>
      </c>
      <c r="E4" s="45">
        <f t="shared" ref="E4:E28" si="0">SUM(C4)-D4</f>
        <v>-9</v>
      </c>
      <c r="F4" s="61">
        <v>51</v>
      </c>
      <c r="G4" s="45">
        <f t="shared" ref="G4:G28" si="1">SUM(C4)-F4</f>
        <v>-32</v>
      </c>
      <c r="H4" s="7"/>
    </row>
    <row r="5" spans="2:11" x14ac:dyDescent="0.2">
      <c r="B5" s="5" t="s">
        <v>1</v>
      </c>
      <c r="C5" s="45">
        <v>6</v>
      </c>
      <c r="D5" s="61">
        <v>4</v>
      </c>
      <c r="E5" s="45">
        <f t="shared" si="0"/>
        <v>2</v>
      </c>
      <c r="F5" s="61">
        <v>10</v>
      </c>
      <c r="G5" s="45">
        <f t="shared" si="1"/>
        <v>-4</v>
      </c>
      <c r="H5" s="7"/>
    </row>
    <row r="6" spans="2:11" x14ac:dyDescent="0.2">
      <c r="B6" s="5" t="s">
        <v>2</v>
      </c>
      <c r="C6" s="45">
        <v>183</v>
      </c>
      <c r="D6" s="61">
        <v>117</v>
      </c>
      <c r="E6" s="45">
        <f t="shared" si="0"/>
        <v>66</v>
      </c>
      <c r="F6" s="61">
        <v>245</v>
      </c>
      <c r="G6" s="45">
        <f t="shared" si="1"/>
        <v>-62</v>
      </c>
      <c r="H6" s="7"/>
    </row>
    <row r="7" spans="2:11" x14ac:dyDescent="0.2">
      <c r="B7" s="5" t="s">
        <v>3</v>
      </c>
      <c r="C7" s="45">
        <v>61</v>
      </c>
      <c r="D7" s="61">
        <v>124</v>
      </c>
      <c r="E7" s="45">
        <f t="shared" si="0"/>
        <v>-63</v>
      </c>
      <c r="F7" s="61">
        <v>120</v>
      </c>
      <c r="G7" s="45">
        <f t="shared" si="1"/>
        <v>-59</v>
      </c>
      <c r="H7" s="7"/>
    </row>
    <row r="8" spans="2:11" x14ac:dyDescent="0.2">
      <c r="B8" s="5" t="s">
        <v>4</v>
      </c>
      <c r="C8" s="45">
        <v>120</v>
      </c>
      <c r="D8" s="61">
        <v>155</v>
      </c>
      <c r="E8" s="45">
        <f t="shared" si="0"/>
        <v>-35</v>
      </c>
      <c r="F8" s="61">
        <v>112</v>
      </c>
      <c r="G8" s="45">
        <f t="shared" si="1"/>
        <v>8</v>
      </c>
      <c r="H8" s="7"/>
    </row>
    <row r="9" spans="2:11" x14ac:dyDescent="0.2">
      <c r="B9" s="5" t="s">
        <v>5</v>
      </c>
      <c r="C9" s="45">
        <v>56</v>
      </c>
      <c r="D9" s="61">
        <v>52</v>
      </c>
      <c r="E9" s="45">
        <f t="shared" si="0"/>
        <v>4</v>
      </c>
      <c r="F9" s="61">
        <v>121</v>
      </c>
      <c r="G9" s="45">
        <f t="shared" si="1"/>
        <v>-65</v>
      </c>
      <c r="H9" s="7"/>
    </row>
    <row r="10" spans="2:11" x14ac:dyDescent="0.2">
      <c r="B10" s="9" t="s">
        <v>6</v>
      </c>
      <c r="C10" s="45">
        <v>67</v>
      </c>
      <c r="D10" s="61">
        <v>53</v>
      </c>
      <c r="E10" s="45">
        <f t="shared" si="0"/>
        <v>14</v>
      </c>
      <c r="F10" s="61">
        <v>40</v>
      </c>
      <c r="G10" s="45">
        <f t="shared" si="1"/>
        <v>27</v>
      </c>
      <c r="H10" s="7"/>
    </row>
    <row r="11" spans="2:11" x14ac:dyDescent="0.2">
      <c r="B11" s="5" t="s">
        <v>7</v>
      </c>
      <c r="C11" s="45">
        <v>42</v>
      </c>
      <c r="D11" s="61">
        <v>13</v>
      </c>
      <c r="E11" s="45">
        <f t="shared" si="0"/>
        <v>29</v>
      </c>
      <c r="F11" s="61">
        <v>34</v>
      </c>
      <c r="G11" s="45">
        <f t="shared" si="1"/>
        <v>8</v>
      </c>
      <c r="H11" s="7"/>
    </row>
    <row r="12" spans="2:11" x14ac:dyDescent="0.2">
      <c r="B12" s="5" t="s">
        <v>8</v>
      </c>
      <c r="C12" s="45">
        <v>72</v>
      </c>
      <c r="D12" s="61">
        <v>62</v>
      </c>
      <c r="E12" s="45">
        <f t="shared" si="0"/>
        <v>10</v>
      </c>
      <c r="F12" s="61">
        <v>123</v>
      </c>
      <c r="G12" s="45">
        <f t="shared" si="1"/>
        <v>-51</v>
      </c>
      <c r="H12" s="7"/>
    </row>
    <row r="13" spans="2:11" x14ac:dyDescent="0.2">
      <c r="B13" s="5" t="s">
        <v>9</v>
      </c>
      <c r="C13" s="45">
        <v>91</v>
      </c>
      <c r="D13" s="61">
        <v>79</v>
      </c>
      <c r="E13" s="45">
        <f t="shared" si="0"/>
        <v>12</v>
      </c>
      <c r="F13" s="61">
        <v>70</v>
      </c>
      <c r="G13" s="45">
        <f t="shared" si="1"/>
        <v>21</v>
      </c>
      <c r="H13" s="7"/>
    </row>
    <row r="14" spans="2:11" x14ac:dyDescent="0.2">
      <c r="B14" s="5" t="s">
        <v>10</v>
      </c>
      <c r="C14" s="45">
        <v>51</v>
      </c>
      <c r="D14" s="61">
        <v>39</v>
      </c>
      <c r="E14" s="45">
        <f t="shared" si="0"/>
        <v>12</v>
      </c>
      <c r="F14" s="61">
        <v>59</v>
      </c>
      <c r="G14" s="45">
        <f t="shared" si="1"/>
        <v>-8</v>
      </c>
      <c r="H14" s="7"/>
    </row>
    <row r="15" spans="2:11" x14ac:dyDescent="0.2">
      <c r="B15" s="5" t="s">
        <v>11</v>
      </c>
      <c r="C15" s="45">
        <v>248</v>
      </c>
      <c r="D15" s="61">
        <v>230</v>
      </c>
      <c r="E15" s="45">
        <f t="shared" si="0"/>
        <v>18</v>
      </c>
      <c r="F15" s="61">
        <v>539</v>
      </c>
      <c r="G15" s="45">
        <f t="shared" si="1"/>
        <v>-291</v>
      </c>
      <c r="H15" s="7"/>
    </row>
    <row r="16" spans="2:11" x14ac:dyDescent="0.2">
      <c r="B16" s="5" t="s">
        <v>12</v>
      </c>
      <c r="C16" s="45">
        <v>76</v>
      </c>
      <c r="D16" s="61">
        <v>70</v>
      </c>
      <c r="E16" s="45">
        <f t="shared" si="0"/>
        <v>6</v>
      </c>
      <c r="F16" s="61">
        <v>94</v>
      </c>
      <c r="G16" s="45">
        <f t="shared" si="1"/>
        <v>-18</v>
      </c>
      <c r="H16" s="7"/>
    </row>
    <row r="17" spans="2:8" x14ac:dyDescent="0.2">
      <c r="B17" s="5" t="s">
        <v>13</v>
      </c>
      <c r="C17" s="45">
        <v>7</v>
      </c>
      <c r="D17" s="61">
        <v>16</v>
      </c>
      <c r="E17" s="45">
        <f t="shared" si="0"/>
        <v>-9</v>
      </c>
      <c r="F17" s="61">
        <v>3</v>
      </c>
      <c r="G17" s="45">
        <f t="shared" si="1"/>
        <v>4</v>
      </c>
      <c r="H17" s="7"/>
    </row>
    <row r="18" spans="2:8" x14ac:dyDescent="0.2">
      <c r="B18" s="5" t="s">
        <v>14</v>
      </c>
      <c r="C18" s="45">
        <v>141</v>
      </c>
      <c r="D18" s="61">
        <v>144</v>
      </c>
      <c r="E18" s="45">
        <f t="shared" si="0"/>
        <v>-3</v>
      </c>
      <c r="F18" s="61">
        <v>208</v>
      </c>
      <c r="G18" s="45">
        <f t="shared" si="1"/>
        <v>-67</v>
      </c>
      <c r="H18" s="7"/>
    </row>
    <row r="19" spans="2:8" x14ac:dyDescent="0.2">
      <c r="B19" s="5" t="s">
        <v>15</v>
      </c>
      <c r="C19" s="45">
        <v>107</v>
      </c>
      <c r="D19" s="61">
        <v>59</v>
      </c>
      <c r="E19" s="45">
        <f t="shared" si="0"/>
        <v>48</v>
      </c>
      <c r="F19" s="61">
        <v>116</v>
      </c>
      <c r="G19" s="45">
        <f t="shared" si="1"/>
        <v>-9</v>
      </c>
      <c r="H19" s="7"/>
    </row>
    <row r="20" spans="2:8" x14ac:dyDescent="0.2">
      <c r="B20" s="5" t="s">
        <v>16</v>
      </c>
      <c r="C20" s="45">
        <v>111</v>
      </c>
      <c r="D20" s="61">
        <v>91</v>
      </c>
      <c r="E20" s="45">
        <f t="shared" si="0"/>
        <v>20</v>
      </c>
      <c r="F20" s="61">
        <v>100</v>
      </c>
      <c r="G20" s="45">
        <f t="shared" si="1"/>
        <v>11</v>
      </c>
      <c r="H20" s="7"/>
    </row>
    <row r="21" spans="2:8" x14ac:dyDescent="0.2">
      <c r="B21" s="5" t="s">
        <v>17</v>
      </c>
      <c r="C21" s="45">
        <v>57</v>
      </c>
      <c r="D21" s="61">
        <v>75</v>
      </c>
      <c r="E21" s="45">
        <f t="shared" si="0"/>
        <v>-18</v>
      </c>
      <c r="F21" s="61">
        <v>59</v>
      </c>
      <c r="G21" s="45">
        <f t="shared" si="1"/>
        <v>-2</v>
      </c>
      <c r="H21" s="7"/>
    </row>
    <row r="22" spans="2:8" x14ac:dyDescent="0.2">
      <c r="B22" s="5" t="s">
        <v>18</v>
      </c>
      <c r="C22" s="45">
        <v>98</v>
      </c>
      <c r="D22" s="61">
        <v>73</v>
      </c>
      <c r="E22" s="45">
        <f t="shared" si="0"/>
        <v>25</v>
      </c>
      <c r="F22" s="61">
        <v>129</v>
      </c>
      <c r="G22" s="45">
        <f t="shared" si="1"/>
        <v>-31</v>
      </c>
      <c r="H22" s="7"/>
    </row>
    <row r="23" spans="2:8" x14ac:dyDescent="0.2">
      <c r="B23" s="5" t="s">
        <v>19</v>
      </c>
      <c r="C23" s="45">
        <v>116</v>
      </c>
      <c r="D23" s="61">
        <v>84</v>
      </c>
      <c r="E23" s="45">
        <f t="shared" si="0"/>
        <v>32</v>
      </c>
      <c r="F23" s="61">
        <v>106</v>
      </c>
      <c r="G23" s="45">
        <f t="shared" si="1"/>
        <v>10</v>
      </c>
      <c r="H23" s="7"/>
    </row>
    <row r="24" spans="2:8" x14ac:dyDescent="0.2">
      <c r="B24" s="5" t="s">
        <v>20</v>
      </c>
      <c r="C24" s="45">
        <v>45</v>
      </c>
      <c r="D24" s="61">
        <v>72</v>
      </c>
      <c r="E24" s="45">
        <f t="shared" si="0"/>
        <v>-27</v>
      </c>
      <c r="F24" s="61">
        <v>116</v>
      </c>
      <c r="G24" s="45">
        <f t="shared" si="1"/>
        <v>-71</v>
      </c>
      <c r="H24" s="7"/>
    </row>
    <row r="25" spans="2:8" x14ac:dyDescent="0.2">
      <c r="B25" s="5" t="s">
        <v>21</v>
      </c>
      <c r="C25" s="45">
        <v>37</v>
      </c>
      <c r="D25" s="61">
        <v>45</v>
      </c>
      <c r="E25" s="45">
        <f t="shared" si="0"/>
        <v>-8</v>
      </c>
      <c r="F25" s="61">
        <v>62</v>
      </c>
      <c r="G25" s="45">
        <f t="shared" si="1"/>
        <v>-25</v>
      </c>
      <c r="H25" s="7"/>
    </row>
    <row r="26" spans="2:8" x14ac:dyDescent="0.2">
      <c r="B26" s="5" t="s">
        <v>22</v>
      </c>
      <c r="C26" s="45">
        <v>26</v>
      </c>
      <c r="D26" s="61">
        <v>25</v>
      </c>
      <c r="E26" s="45">
        <f t="shared" si="0"/>
        <v>1</v>
      </c>
      <c r="F26" s="61">
        <v>49</v>
      </c>
      <c r="G26" s="45">
        <f t="shared" si="1"/>
        <v>-23</v>
      </c>
      <c r="H26" s="7"/>
    </row>
    <row r="27" spans="2:8" x14ac:dyDescent="0.2">
      <c r="B27" s="5" t="s">
        <v>23</v>
      </c>
      <c r="C27" s="45">
        <v>394</v>
      </c>
      <c r="D27" s="61">
        <v>412</v>
      </c>
      <c r="E27" s="45">
        <f t="shared" si="0"/>
        <v>-18</v>
      </c>
      <c r="F27" s="61">
        <v>477</v>
      </c>
      <c r="G27" s="45">
        <f t="shared" si="1"/>
        <v>-83</v>
      </c>
      <c r="H27" s="7"/>
    </row>
    <row r="28" spans="2:8" x14ac:dyDescent="0.2">
      <c r="B28" s="5" t="s">
        <v>24</v>
      </c>
      <c r="C28" s="45">
        <v>58</v>
      </c>
      <c r="D28" s="61">
        <v>61</v>
      </c>
      <c r="E28" s="45">
        <f t="shared" si="0"/>
        <v>-3</v>
      </c>
      <c r="F28" s="61">
        <v>74</v>
      </c>
      <c r="G28" s="45">
        <f t="shared" si="1"/>
        <v>-16</v>
      </c>
      <c r="H28" s="7"/>
    </row>
    <row r="29" spans="2:8" ht="15" x14ac:dyDescent="0.25">
      <c r="B29" s="58" t="s">
        <v>25</v>
      </c>
      <c r="C29" s="78">
        <f>SUM(C4:C28)</f>
        <v>2289</v>
      </c>
      <c r="D29" s="63">
        <f>SUM(D4:D28)</f>
        <v>2183</v>
      </c>
      <c r="E29" s="78">
        <f>SUM(E4:E28)</f>
        <v>106</v>
      </c>
      <c r="F29" s="63">
        <f>SUM(F4:F28)</f>
        <v>3117</v>
      </c>
      <c r="G29" s="78">
        <f>SUM(G4:G28)</f>
        <v>-828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101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88</v>
      </c>
      <c r="C3" s="55" t="str">
        <f>T('10oferty s.'!B3)</f>
        <v>powiaty</v>
      </c>
      <c r="D3" s="55" t="str">
        <f>T('10oferty s.'!C3)</f>
        <v>liczba ofert w VIII '23 r.</v>
      </c>
      <c r="E3" s="55" t="str">
        <f>T('10oferty s.'!D3)</f>
        <v>liczba ofert w VII '23 r.</v>
      </c>
      <c r="F3" s="55" t="str">
        <f>T('10oferty s.'!E3)</f>
        <v>wzrost/spadek do poprzedniego  miesiąca</v>
      </c>
      <c r="G3" s="55" t="str">
        <f>T('10oferty s.'!F3)</f>
        <v>liczba ofert w VIII '22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3</v>
      </c>
      <c r="C4" s="5" t="str">
        <f>INDEX('11of st. k.'!B4:G29,MATCH(1,B4:B29,0),1)</f>
        <v>brzozowski</v>
      </c>
      <c r="D4" s="25">
        <f>INDEX('11of st. k.'!B4:G29,MATCH(1,B4:B29,0),2)</f>
        <v>6</v>
      </c>
      <c r="E4" s="61">
        <f>INDEX('11of st. k.'!B4:G29,MATCH(1,B4:B29,0),3)</f>
        <v>4</v>
      </c>
      <c r="F4" s="6">
        <f>INDEX('11of st. k.'!B4:G29,MATCH(1,B4:B29,0),4)</f>
        <v>2</v>
      </c>
      <c r="G4" s="61">
        <f>INDEX('11of st. k.'!B4:G29,MATCH(1,B4:B29,0),5)</f>
        <v>10</v>
      </c>
      <c r="H4" s="6">
        <f>INDEX('11of st. k.'!B4:G29,MATCH(1,B4:B29,0),6)</f>
        <v>-4</v>
      </c>
    </row>
    <row r="5" spans="2:8" x14ac:dyDescent="0.2">
      <c r="B5" s="6">
        <f>RANK('11of st. k.'!C5,'11of st. k.'!$C$4:'11of st. k.'!$C$29,1)+COUNTIF('11of st. k.'!$C$4:'11of st. k.'!C5,'11of st. k.'!C5)-1</f>
        <v>1</v>
      </c>
      <c r="C5" s="5" t="str">
        <f>INDEX('11of st. k.'!B4:G29,MATCH(2,B4:B29,0),1)</f>
        <v>przemyski</v>
      </c>
      <c r="D5" s="6">
        <f>INDEX('11of st. k.'!B4:G29,MATCH(2,B4:B29,0),2)</f>
        <v>7</v>
      </c>
      <c r="E5" s="61">
        <f>INDEX('11of st. k.'!B4:G29,MATCH(2,B4:B29,0),3)</f>
        <v>16</v>
      </c>
      <c r="F5" s="6">
        <f>INDEX('11of st. k.'!B4:G29,MATCH(2,B4:B29,0),4)</f>
        <v>-9</v>
      </c>
      <c r="G5" s="61">
        <f>INDEX('11of st. k.'!B4:G29,MATCH(2,B4:B29,0),5)</f>
        <v>3</v>
      </c>
      <c r="H5" s="6">
        <f>INDEX('11of st. k.'!B4:G29,MATCH(2,B4:B29,0),6)</f>
        <v>4</v>
      </c>
    </row>
    <row r="6" spans="2:8" x14ac:dyDescent="0.2">
      <c r="B6" s="6">
        <f>RANK('11of st. k.'!C6,'11of st. k.'!$C$4:'11of st. k.'!$C$29,1)+COUNTIF('11of st. k.'!$C$4:'11of st. k.'!C6,'11of st. k.'!C6)-1</f>
        <v>23</v>
      </c>
      <c r="C6" s="5" t="str">
        <f>INDEX('11of st. k.'!B4:G29,MATCH(3,B4:B29,0),1)</f>
        <v>bieszczadzki</v>
      </c>
      <c r="D6" s="6">
        <f>INDEX('11of st. k.'!B4:G29,MATCH(3,B4:B29,0),2)</f>
        <v>19</v>
      </c>
      <c r="E6" s="61">
        <f>INDEX('11of st. k.'!B4:G29,MATCH(3,B4:B29,0),3)</f>
        <v>28</v>
      </c>
      <c r="F6" s="6">
        <f>INDEX('11of st. k.'!B4:G29,MATCH(3,B4:B29,0),4)</f>
        <v>-9</v>
      </c>
      <c r="G6" s="61">
        <f>INDEX('11of st. k.'!B4:G29,MATCH(3,B4:B29,0),5)</f>
        <v>51</v>
      </c>
      <c r="H6" s="6">
        <f>INDEX('11of st. k.'!B4:G29,MATCH(3,B4:B29,0),6)</f>
        <v>-32</v>
      </c>
    </row>
    <row r="7" spans="2:8" x14ac:dyDescent="0.2">
      <c r="B7" s="6">
        <f>RANK('11of st. k.'!C7,'11of st. k.'!$C$4:'11of st. k.'!$C$29,1)+COUNTIF('11of st. k.'!$C$4:'11of st. k.'!C7,'11of st. k.'!C7)-1</f>
        <v>12</v>
      </c>
      <c r="C7" s="5" t="str">
        <f>INDEX('11of st. k.'!B4:G29,MATCH(4,B4:B29,0),1)</f>
        <v>Przemyśl</v>
      </c>
      <c r="D7" s="6">
        <f>INDEX('11of st. k.'!B4:G29,MATCH(4,B4:B29,0),2)</f>
        <v>26</v>
      </c>
      <c r="E7" s="61">
        <f>INDEX('11of st. k.'!B4:G29,MATCH(4,B4:B29,0),3)</f>
        <v>25</v>
      </c>
      <c r="F7" s="6">
        <f>INDEX('11of st. k.'!B4:G29,MATCH(4,B4:B29,0),4)</f>
        <v>1</v>
      </c>
      <c r="G7" s="61">
        <f>INDEX('11of st. k.'!B4:G29,MATCH(4,B4:B29,0),5)</f>
        <v>49</v>
      </c>
      <c r="H7" s="6">
        <f>INDEX('11of st. k.'!B4:G29,MATCH(4,B4:B29,0),6)</f>
        <v>-23</v>
      </c>
    </row>
    <row r="8" spans="2:8" x14ac:dyDescent="0.2">
      <c r="B8" s="6">
        <f>RANK('11of st. k.'!C8,'11of st. k.'!$C$4:'11of st. k.'!$C$29,1)+COUNTIF('11of st. k.'!$C$4:'11of st. k.'!C8,'11of st. k.'!C8)-1</f>
        <v>21</v>
      </c>
      <c r="C8" s="5" t="str">
        <f>INDEX('11of st. k.'!B4:G29,MATCH(5,B4:B29,0),1)</f>
        <v>Krosno</v>
      </c>
      <c r="D8" s="6">
        <f>INDEX('11of st. k.'!B4:G29,MATCH(5,B4:B29,0),2)</f>
        <v>37</v>
      </c>
      <c r="E8" s="61">
        <f>INDEX('11of st. k.'!B4:G29,MATCH(5,B4:B29,0),3)</f>
        <v>45</v>
      </c>
      <c r="F8" s="6">
        <f>INDEX('11of st. k.'!B4:G29,MATCH(5,B4:B29,0),4)</f>
        <v>-8</v>
      </c>
      <c r="G8" s="61">
        <f>INDEX('11of st. k.'!B4:G29,MATCH(5,B4:B29,0),5)</f>
        <v>62</v>
      </c>
      <c r="H8" s="6">
        <f>INDEX('11of st. k.'!B4:G29,MATCH(5,B4:B29,0),6)</f>
        <v>-25</v>
      </c>
    </row>
    <row r="9" spans="2:8" x14ac:dyDescent="0.2">
      <c r="B9" s="6">
        <f>RANK('11of st. k.'!C9,'11of st. k.'!$C$4:'11of st. k.'!$C$29,1)+COUNTIF('11of st. k.'!$C$4:'11of st. k.'!C9,'11of st. k.'!C9)-1</f>
        <v>9</v>
      </c>
      <c r="C9" s="5" t="str">
        <f>INDEX('11of st. k.'!B4:G29,MATCH(6,B4:B29,0),1)</f>
        <v>leski</v>
      </c>
      <c r="D9" s="6">
        <f>INDEX('11of st. k.'!B4:G29,MATCH(6,B4:B29,0),2)</f>
        <v>42</v>
      </c>
      <c r="E9" s="61">
        <f>INDEX('11of st. k.'!B4:G29,MATCH(6,B4:B29,0),3)</f>
        <v>13</v>
      </c>
      <c r="F9" s="6">
        <f>INDEX('11of st. k.'!B4:G29,MATCH(6,B4:B29,0),4)</f>
        <v>29</v>
      </c>
      <c r="G9" s="61">
        <f>INDEX('11of st. k.'!B4:G29,MATCH(6,B4:B29,0),5)</f>
        <v>34</v>
      </c>
      <c r="H9" s="6">
        <f>INDEX('11of st. k.'!B4:G29,MATCH(6,B4:B29,0),6)</f>
        <v>8</v>
      </c>
    </row>
    <row r="10" spans="2:8" x14ac:dyDescent="0.2">
      <c r="B10" s="6">
        <f>RANK('11of st. k.'!C10,'11of st. k.'!$C$4:'11of st. k.'!$C$29,1)+COUNTIF('11of st. k.'!$C$4:'11of st. k.'!C10,'11of st. k.'!C10)-1</f>
        <v>13</v>
      </c>
      <c r="C10" s="9" t="str">
        <f>INDEX('11of st. k.'!B4:G29,MATCH(7,B4:B29,0),1)</f>
        <v xml:space="preserve">tarnobrzeski </v>
      </c>
      <c r="D10" s="6">
        <f>INDEX('11of st. k.'!B4:G29,MATCH(7,B4:B29,0),2)</f>
        <v>45</v>
      </c>
      <c r="E10" s="61">
        <f>INDEX('11of st. k.'!B4:G29,MATCH(7,B4:B29,0),3)</f>
        <v>72</v>
      </c>
      <c r="F10" s="6">
        <f>INDEX('11of st. k.'!B4:G29,MATCH(7,B4:B29,0),4)</f>
        <v>-27</v>
      </c>
      <c r="G10" s="61">
        <f>INDEX('11of st. k.'!B4:G29,MATCH(7,B4:B29,0),5)</f>
        <v>116</v>
      </c>
      <c r="H10" s="6">
        <f>INDEX('11of st. k.'!B4:G29,MATCH(7,B4:B29,0),6)</f>
        <v>-71</v>
      </c>
    </row>
    <row r="11" spans="2:8" x14ac:dyDescent="0.2">
      <c r="B11" s="6">
        <f>RANK('11of st. k.'!C11,'11of st. k.'!$C$4:'11of st. k.'!$C$29,1)+COUNTIF('11of st. k.'!$C$4:'11of st. k.'!C11,'11of st. k.'!C11)-1</f>
        <v>6</v>
      </c>
      <c r="C11" s="5" t="str">
        <f>INDEX('11of st. k.'!B4:G29,MATCH(8,B4:B29,0),1)</f>
        <v>łańcucki</v>
      </c>
      <c r="D11" s="6">
        <f>INDEX('11of st. k.'!B4:G29,MATCH(8,B4:B29,0),2)</f>
        <v>51</v>
      </c>
      <c r="E11" s="61">
        <f>INDEX('11of st. k.'!B4:G29,MATCH(8,B4:B29,0),3)</f>
        <v>39</v>
      </c>
      <c r="F11" s="6">
        <f>INDEX('11of st. k.'!B4:G29,MATCH(8,B4:B29,0),4)</f>
        <v>12</v>
      </c>
      <c r="G11" s="61">
        <f>INDEX('11of st. k.'!B4:G29,MATCH(8,B4:B29,0),5)</f>
        <v>59</v>
      </c>
      <c r="H11" s="6">
        <f>INDEX('11of st. k.'!B4:G29,MATCH(8,B4:B29,0),6)</f>
        <v>-8</v>
      </c>
    </row>
    <row r="12" spans="2:8" x14ac:dyDescent="0.2">
      <c r="B12" s="6">
        <f>RANK('11of st. k.'!C12,'11of st. k.'!$C$4:'11of st. k.'!$C$29,1)+COUNTIF('11of st. k.'!$C$4:'11of st. k.'!C12,'11of st. k.'!C12)-1</f>
        <v>14</v>
      </c>
      <c r="C12" s="5" t="str">
        <f>INDEX('11of st. k.'!B4:G29,MATCH(9,B4:B29,0),1)</f>
        <v>kolbuszowski</v>
      </c>
      <c r="D12" s="6">
        <f>INDEX('11of st. k.'!B4:G29,MATCH(9,B4:B29,0),2)</f>
        <v>56</v>
      </c>
      <c r="E12" s="61">
        <f>INDEX('11of st. k.'!B4:G29,MATCH(9,B4:B29,0),3)</f>
        <v>52</v>
      </c>
      <c r="F12" s="6">
        <f>INDEX('11of st. k.'!B4:G29,MATCH(9,B4:B29,0),4)</f>
        <v>4</v>
      </c>
      <c r="G12" s="61">
        <f>INDEX('11of st. k.'!B4:G29,MATCH(9,B4:B29,0),5)</f>
        <v>121</v>
      </c>
      <c r="H12" s="6">
        <f>INDEX('11of st. k.'!B4:G29,MATCH(9,B4:B29,0),6)</f>
        <v>-65</v>
      </c>
    </row>
    <row r="13" spans="2:8" x14ac:dyDescent="0.2">
      <c r="B13" s="6">
        <f>RANK('11of st. k.'!C13,'11of st. k.'!$C$4:'11of st. k.'!$C$29,1)+COUNTIF('11of st. k.'!$C$4:'11of st. k.'!C13,'11of st. k.'!C13)-1</f>
        <v>16</v>
      </c>
      <c r="C13" s="5" t="str">
        <f>INDEX('11of st. k.'!B4:G29,MATCH(10,B4:B29,0),1)</f>
        <v>sanocki</v>
      </c>
      <c r="D13" s="6">
        <f>INDEX('11of st. k.'!B4:G29,MATCH(10,B4:B29,0),2)</f>
        <v>57</v>
      </c>
      <c r="E13" s="61">
        <f>INDEX('11of st. k.'!B4:G29,MATCH(10,B4:B29,0),3)</f>
        <v>75</v>
      </c>
      <c r="F13" s="6">
        <f>INDEX('11of st. k.'!B4:G29,MATCH(10,B4:B29,0),4)</f>
        <v>-18</v>
      </c>
      <c r="G13" s="61">
        <f>INDEX('11of st. k.'!B4:G29,MATCH(10,B4:B29,0),5)</f>
        <v>59</v>
      </c>
      <c r="H13" s="6">
        <f>INDEX('11of st. k.'!B4:G29,MATCH(10,B4:B29,0),6)</f>
        <v>-2</v>
      </c>
    </row>
    <row r="14" spans="2:8" x14ac:dyDescent="0.2">
      <c r="B14" s="6">
        <f>RANK('11of st. k.'!C14,'11of st. k.'!$C$4:'11of st. k.'!$C$29,1)+COUNTIF('11of st. k.'!$C$4:'11of st. k.'!C14,'11of st. k.'!C14)-1</f>
        <v>8</v>
      </c>
      <c r="C14" s="5" t="str">
        <f>INDEX('11of st. k.'!B4:G29,MATCH(11,B4:B29,0),1)</f>
        <v>Tarnobrzeg</v>
      </c>
      <c r="D14" s="6">
        <f>INDEX('11of st. k.'!B4:G29,MATCH(11,B4:B29,0),2)</f>
        <v>58</v>
      </c>
      <c r="E14" s="61">
        <f>INDEX('11of st. k.'!B4:G29,MATCH(11,B4:B29,0),3)</f>
        <v>61</v>
      </c>
      <c r="F14" s="6">
        <f>INDEX('11of st. k.'!B4:G29,MATCH(11,B4:B29,0),4)</f>
        <v>-3</v>
      </c>
      <c r="G14" s="61">
        <f>INDEX('11of st. k.'!B4:G29,MATCH(11,B4:B29,0),5)</f>
        <v>74</v>
      </c>
      <c r="H14" s="6">
        <f>INDEX('11of st. k.'!B4:G29,MATCH(11,B4:B29,0),6)</f>
        <v>-16</v>
      </c>
    </row>
    <row r="15" spans="2:8" x14ac:dyDescent="0.2">
      <c r="B15" s="6">
        <f>RANK('11of st. k.'!C15,'11of st. k.'!$C$4:'11of st. k.'!$C$29,1)+COUNTIF('11of st. k.'!$C$4:'11of st. k.'!C15,'11of st. k.'!C15)-1</f>
        <v>24</v>
      </c>
      <c r="C15" s="5" t="str">
        <f>INDEX('11of st. k.'!B4:G29,MATCH(12,B4:B29,0),1)</f>
        <v>jarosławski</v>
      </c>
      <c r="D15" s="6">
        <f>INDEX('11of st. k.'!B4:G29,MATCH(12,B4:B29,0),2)</f>
        <v>61</v>
      </c>
      <c r="E15" s="61">
        <f>INDEX('11of st. k.'!B4:G29,MATCH(12,B4:B29,0),3)</f>
        <v>124</v>
      </c>
      <c r="F15" s="6">
        <f>INDEX('11of st. k.'!B4:G29,MATCH(12,B4:B29,0),4)</f>
        <v>-63</v>
      </c>
      <c r="G15" s="61">
        <f>INDEX('11of st. k.'!B4:G29,MATCH(12,B4:B29,0),5)</f>
        <v>120</v>
      </c>
      <c r="H15" s="6">
        <f>INDEX('11of st. k.'!B4:G29,MATCH(12,B4:B29,0),6)</f>
        <v>-59</v>
      </c>
    </row>
    <row r="16" spans="2:8" x14ac:dyDescent="0.2">
      <c r="B16" s="6">
        <f>RANK('11of st. k.'!C16,'11of st. k.'!$C$4:'11of st. k.'!$C$29,1)+COUNTIF('11of st. k.'!$C$4:'11of st. k.'!C16,'11of st. k.'!C16)-1</f>
        <v>15</v>
      </c>
      <c r="C16" s="5" t="str">
        <f>INDEX('11of st. k.'!B4:G29,MATCH(13,B4:B29,0),1)</f>
        <v>krośnieński</v>
      </c>
      <c r="D16" s="6">
        <f>INDEX('11of st. k.'!B4:G29,MATCH(13,B4:B29,0),2)</f>
        <v>67</v>
      </c>
      <c r="E16" s="61">
        <f>INDEX('11of st. k.'!B4:G29,MATCH(13,B4:B29,0),3)</f>
        <v>53</v>
      </c>
      <c r="F16" s="6">
        <f>INDEX('11of st. k.'!B4:G29,MATCH(13,B4:B29,0),4)</f>
        <v>14</v>
      </c>
      <c r="G16" s="61">
        <f>INDEX('11of st. k.'!B4:G29,MATCH(13,B4:B29,0),5)</f>
        <v>40</v>
      </c>
      <c r="H16" s="6">
        <f>INDEX('11of st. k.'!B4:G29,MATCH(13,B4:B29,0),6)</f>
        <v>27</v>
      </c>
    </row>
    <row r="17" spans="2:8" x14ac:dyDescent="0.2">
      <c r="B17" s="6">
        <f>RANK('11of st. k.'!C17,'11of st. k.'!$C$4:'11of st. k.'!$C$29,1)+COUNTIF('11of st. k.'!$C$4:'11of st. k.'!C17,'11of st. k.'!C17)-1</f>
        <v>2</v>
      </c>
      <c r="C17" s="5" t="str">
        <f>INDEX('11of st. k.'!B4:G29,MATCH(14,B4:B29,0),1)</f>
        <v>leżajski</v>
      </c>
      <c r="D17" s="6">
        <f>INDEX('11of st. k.'!B4:G29,MATCH(14,B4:B29,0),2)</f>
        <v>72</v>
      </c>
      <c r="E17" s="61">
        <f>INDEX('11of st. k.'!B4:G29,MATCH(14,B4:B29,0),3)</f>
        <v>62</v>
      </c>
      <c r="F17" s="6">
        <f>INDEX('11of st. k.'!B4:G29,MATCH(14,B4:B29,0),4)</f>
        <v>10</v>
      </c>
      <c r="G17" s="61">
        <f>INDEX('11of st. k.'!B4:G29,MATCH(14,B4:B29,0),5)</f>
        <v>123</v>
      </c>
      <c r="H17" s="6">
        <f>INDEX('11of st. k.'!B4:G29,MATCH(14,B4:B29,0),6)</f>
        <v>-51</v>
      </c>
    </row>
    <row r="18" spans="2:8" x14ac:dyDescent="0.2">
      <c r="B18" s="6">
        <f>RANK('11of st. k.'!C18,'11of st. k.'!$C$4:'11of st. k.'!$C$29,1)+COUNTIF('11of st. k.'!$C$4:'11of st. k.'!C18,'11of st. k.'!C18)-1</f>
        <v>22</v>
      </c>
      <c r="C18" s="5" t="str">
        <f>INDEX('11of st. k.'!B4:G29,MATCH(15,B4:B29,0),1)</f>
        <v>niżański</v>
      </c>
      <c r="D18" s="6">
        <f>INDEX('11of st. k.'!B4:G29,MATCH(15,B4:B29,0),2)</f>
        <v>76</v>
      </c>
      <c r="E18" s="61">
        <f>INDEX('11of st. k.'!B4:G29,MATCH(15,B4:B29,0),3)</f>
        <v>70</v>
      </c>
      <c r="F18" s="6">
        <f>INDEX('11of st. k.'!B4:G29,MATCH(15,B4:B29,0),4)</f>
        <v>6</v>
      </c>
      <c r="G18" s="61">
        <f>INDEX('11of st. k.'!B4:G29,MATCH(15,B4:B29,0),5)</f>
        <v>94</v>
      </c>
      <c r="H18" s="6">
        <f>INDEX('11of st. k.'!B4:G29,MATCH(15,B4:B29,0),6)</f>
        <v>-18</v>
      </c>
    </row>
    <row r="19" spans="2:8" x14ac:dyDescent="0.2">
      <c r="B19" s="6">
        <f>RANK('11of st. k.'!C19,'11of st. k.'!$C$4:'11of st. k.'!$C$29,1)+COUNTIF('11of st. k.'!$C$4:'11of st. k.'!C19,'11of st. k.'!C19)-1</f>
        <v>18</v>
      </c>
      <c r="C19" s="5" t="str">
        <f>INDEX('11of st. k.'!B4:G29,MATCH(16,B4:B29,0),1)</f>
        <v>lubaczowski</v>
      </c>
      <c r="D19" s="6">
        <f>INDEX('11of st. k.'!B4:G29,MATCH(16,B4:B29,0),2)</f>
        <v>91</v>
      </c>
      <c r="E19" s="61">
        <f>INDEX('11of st. k.'!B4:G29,MATCH(16,B4:B29,0),3)</f>
        <v>79</v>
      </c>
      <c r="F19" s="6">
        <f>INDEX('11of st. k.'!B4:G29,MATCH(16,B4:B29,0),4)</f>
        <v>12</v>
      </c>
      <c r="G19" s="61">
        <f>INDEX('11of st. k.'!B4:G29,MATCH(16,B4:B29,0),5)</f>
        <v>70</v>
      </c>
      <c r="H19" s="6">
        <f>INDEX('11of st. k.'!B4:G29,MATCH(16,B4:B29,0),6)</f>
        <v>21</v>
      </c>
    </row>
    <row r="20" spans="2:8" x14ac:dyDescent="0.2">
      <c r="B20" s="6">
        <f>RANK('11of st. k.'!C20,'11of st. k.'!$C$4:'11of st. k.'!$C$29,1)+COUNTIF('11of st. k.'!$C$4:'11of st. k.'!C20,'11of st. k.'!C20)-1</f>
        <v>19</v>
      </c>
      <c r="C20" s="5" t="str">
        <f>INDEX('11of st. k.'!B4:G29,MATCH(17,B4:B29,0),1)</f>
        <v>stalowowolski</v>
      </c>
      <c r="D20" s="6">
        <f>INDEX('11of st. k.'!B4:G29,MATCH(17,B4:B29,0),2)</f>
        <v>98</v>
      </c>
      <c r="E20" s="61">
        <f>INDEX('11of st. k.'!B4:G29,MATCH(17,B4:B29,0),3)</f>
        <v>73</v>
      </c>
      <c r="F20" s="6">
        <f>INDEX('11of st. k.'!B4:G29,MATCH(17,B4:B29,0),4)</f>
        <v>25</v>
      </c>
      <c r="G20" s="61">
        <f>INDEX('11of st. k.'!B4:G29,MATCH(17,B4:B29,0),5)</f>
        <v>129</v>
      </c>
      <c r="H20" s="6">
        <f>INDEX('11of st. k.'!B4:G29,MATCH(17,B4:B29,0),6)</f>
        <v>-31</v>
      </c>
    </row>
    <row r="21" spans="2:8" x14ac:dyDescent="0.2">
      <c r="B21" s="6">
        <f>RANK('11of st. k.'!C21,'11of st. k.'!$C$4:'11of st. k.'!$C$29,1)+COUNTIF('11of st. k.'!$C$4:'11of st. k.'!C21,'11of st. k.'!C21)-1</f>
        <v>10</v>
      </c>
      <c r="C21" s="5" t="str">
        <f>INDEX('11of st. k.'!B4:G29,MATCH(18,B4:B29,0),1)</f>
        <v>ropczycko-sędziszowski</v>
      </c>
      <c r="D21" s="6">
        <f>INDEX('11of st. k.'!B4:G29,MATCH(18,B4:B29,0),2)</f>
        <v>107</v>
      </c>
      <c r="E21" s="61">
        <f>INDEX('11of st. k.'!B4:G29,MATCH(18,B4:B29,0),3)</f>
        <v>59</v>
      </c>
      <c r="F21" s="6">
        <f>INDEX('11of st. k.'!B4:G29,MATCH(18,B4:B29,0),4)</f>
        <v>48</v>
      </c>
      <c r="G21" s="61">
        <f>INDEX('11of st. k.'!B4:G29,MATCH(18,B4:B29,0),5)</f>
        <v>116</v>
      </c>
      <c r="H21" s="6">
        <f>INDEX('11of st. k.'!B4:G29,MATCH(18,B4:B29,0),6)</f>
        <v>-9</v>
      </c>
    </row>
    <row r="22" spans="2:8" x14ac:dyDescent="0.2">
      <c r="B22" s="6">
        <f>RANK('11of st. k.'!C22,'11of st. k.'!$C$4:'11of st. k.'!$C$29,1)+COUNTIF('11of st. k.'!$C$4:'11of st. k.'!C22,'11of st. k.'!C22)-1</f>
        <v>17</v>
      </c>
      <c r="C22" s="5" t="str">
        <f>INDEX('11of st. k.'!B4:G29,MATCH(19,B4:B29,0),1)</f>
        <v>rzeszowski</v>
      </c>
      <c r="D22" s="6">
        <f>INDEX('11of st. k.'!B4:G29,MATCH(19,B4:B29,0),2)</f>
        <v>111</v>
      </c>
      <c r="E22" s="61">
        <f>INDEX('11of st. k.'!B4:G29,MATCH(19,B4:B29,0),3)</f>
        <v>91</v>
      </c>
      <c r="F22" s="6">
        <f>INDEX('11of st. k.'!B4:G29,MATCH(19,B4:B29,0),4)</f>
        <v>20</v>
      </c>
      <c r="G22" s="61">
        <f>INDEX('11of st. k.'!B4:G29,MATCH(19,B4:B29,0),5)</f>
        <v>100</v>
      </c>
      <c r="H22" s="6">
        <f>INDEX('11of st. k.'!B4:G29,MATCH(19,B4:B29,0),6)</f>
        <v>11</v>
      </c>
    </row>
    <row r="23" spans="2:8" x14ac:dyDescent="0.2">
      <c r="B23" s="6">
        <f>RANK('11of st. k.'!C23,'11of st. k.'!$C$4:'11of st. k.'!$C$29,1)+COUNTIF('11of st. k.'!$C$4:'11of st. k.'!C23,'11of st. k.'!C23)-1</f>
        <v>20</v>
      </c>
      <c r="C23" s="5" t="str">
        <f>INDEX('11of st. k.'!B4:G29,MATCH(20,B4:B29,0),1)</f>
        <v>strzyżowski</v>
      </c>
      <c r="D23" s="6">
        <f>INDEX('11of st. k.'!B4:G29,MATCH(20,B4:B29,0),2)</f>
        <v>116</v>
      </c>
      <c r="E23" s="61">
        <f>INDEX('11of st. k.'!B4:G29,MATCH(20,B4:B29,0),3)</f>
        <v>84</v>
      </c>
      <c r="F23" s="6">
        <f>INDEX('11of st. k.'!B4:G29,MATCH(20,B4:B29,0),4)</f>
        <v>32</v>
      </c>
      <c r="G23" s="61">
        <f>INDEX('11of st. k.'!B4:G29,MATCH(20,B4:B29,0),5)</f>
        <v>106</v>
      </c>
      <c r="H23" s="6">
        <f>INDEX('11of st. k.'!B4:G29,MATCH(20,B4:B29,0),6)</f>
        <v>10</v>
      </c>
    </row>
    <row r="24" spans="2:8" x14ac:dyDescent="0.2">
      <c r="B24" s="6">
        <f>RANK('11of st. k.'!C24,'11of st. k.'!$C$4:'11of st. k.'!$C$29,1)+COUNTIF('11of st. k.'!$C$4:'11of st. k.'!C24,'11of st. k.'!C24)-1</f>
        <v>7</v>
      </c>
      <c r="C24" s="5" t="str">
        <f>INDEX('11of st. k.'!B4:G29,MATCH(21,B4:B29,0),1)</f>
        <v>jasielski</v>
      </c>
      <c r="D24" s="6">
        <f>INDEX('11of st. k.'!B4:G29,MATCH(21,B4:B29,0),2)</f>
        <v>120</v>
      </c>
      <c r="E24" s="61">
        <f>INDEX('11of st. k.'!B4:G29,MATCH(21,B4:B29,0),3)</f>
        <v>155</v>
      </c>
      <c r="F24" s="6">
        <f>INDEX('11of st. k.'!B4:G29,MATCH(21,B4:B29,0),4)</f>
        <v>-35</v>
      </c>
      <c r="G24" s="61">
        <f>INDEX('11of st. k.'!B4:G29,MATCH(21,B4:B29,0),5)</f>
        <v>112</v>
      </c>
      <c r="H24" s="6">
        <f>INDEX('11of st. k.'!B4:G29,MATCH(21,B4:B29,0),6)</f>
        <v>8</v>
      </c>
    </row>
    <row r="25" spans="2:8" x14ac:dyDescent="0.2">
      <c r="B25" s="6">
        <f>RANK('11of st. k.'!C25,'11of st. k.'!$C$4:'11of st. k.'!$C$29,1)+COUNTIF('11of st. k.'!$C$4:'11of st. k.'!C25,'11of st. k.'!C25)-1</f>
        <v>5</v>
      </c>
      <c r="C25" s="5" t="str">
        <f>INDEX('11of st. k.'!B4:G29,MATCH(22,B4:B29,0),1)</f>
        <v>przeworski</v>
      </c>
      <c r="D25" s="6">
        <f>INDEX('11of st. k.'!B4:G29,MATCH(22,B4:B29,0),2)</f>
        <v>141</v>
      </c>
      <c r="E25" s="61">
        <f>INDEX('11of st. k.'!B4:G29,MATCH(22,B4:B29,0),3)</f>
        <v>144</v>
      </c>
      <c r="F25" s="6">
        <f>INDEX('11of st. k.'!B4:G29,MATCH(22,B4:B29,0),4)</f>
        <v>-3</v>
      </c>
      <c r="G25" s="61">
        <f>INDEX('11of st. k.'!B4:G29,MATCH(22,B4:B29,0),5)</f>
        <v>208</v>
      </c>
      <c r="H25" s="6">
        <f>INDEX('11of st. k.'!B4:G29,MATCH(22,B4:B29,0),6)</f>
        <v>-67</v>
      </c>
    </row>
    <row r="26" spans="2:8" x14ac:dyDescent="0.2">
      <c r="B26" s="6">
        <f>RANK('11of st. k.'!C26,'11of st. k.'!$C$4:'11of st. k.'!$C$29,1)+COUNTIF('11of st. k.'!$C$4:'11of st. k.'!C26,'11of st. k.'!C26)-1</f>
        <v>4</v>
      </c>
      <c r="C26" s="5" t="str">
        <f>INDEX('11of st. k.'!B4:G29,MATCH(23,B4:B29,0),1)</f>
        <v>dębicki</v>
      </c>
      <c r="D26" s="6">
        <f>INDEX('11of st. k.'!B4:G29,MATCH(23,B4:B29,0),2)</f>
        <v>183</v>
      </c>
      <c r="E26" s="61">
        <f>INDEX('11of st. k.'!B4:G29,MATCH(23,B4:B29,0),3)</f>
        <v>117</v>
      </c>
      <c r="F26" s="6">
        <f>INDEX('11of st. k.'!B4:G29,MATCH(23,B4:B29,0),4)</f>
        <v>66</v>
      </c>
      <c r="G26" s="61">
        <f>INDEX('11of st. k.'!B4:G29,MATCH(23,B4:B29,0),5)</f>
        <v>245</v>
      </c>
      <c r="H26" s="6">
        <f>INDEX('11of st. k.'!B4:G29,MATCH(23,B4:B29,0),6)</f>
        <v>-62</v>
      </c>
    </row>
    <row r="27" spans="2:8" x14ac:dyDescent="0.2">
      <c r="B27" s="6">
        <f>RANK('11of st. k.'!C27,'11of st. k.'!$C$4:'11of st. k.'!$C$29,1)+COUNTIF('11of st. k.'!$C$4:'11of st. k.'!C27,'11of st. k.'!C27)-1</f>
        <v>25</v>
      </c>
      <c r="C27" s="5" t="str">
        <f>INDEX('11of st. k.'!B4:G29,MATCH(24,B4:B29,0),1)</f>
        <v>mielecki</v>
      </c>
      <c r="D27" s="6">
        <f>INDEX('11of st. k.'!B4:G29,MATCH(24,B4:B29,0),2)</f>
        <v>248</v>
      </c>
      <c r="E27" s="61">
        <f>INDEX('11of st. k.'!B4:G29,MATCH(24,B4:B29,0),3)</f>
        <v>230</v>
      </c>
      <c r="F27" s="6">
        <f>INDEX('11of st. k.'!B4:G29,MATCH(24,B4:B29,0),4)</f>
        <v>18</v>
      </c>
      <c r="G27" s="61">
        <f>INDEX('11of st. k.'!B4:G29,MATCH(24,B4:B29,0),5)</f>
        <v>539</v>
      </c>
      <c r="H27" s="6">
        <f>INDEX('11of st. k.'!B4:G29,MATCH(24,B4:B29,0),6)</f>
        <v>-291</v>
      </c>
    </row>
    <row r="28" spans="2:8" x14ac:dyDescent="0.2">
      <c r="B28" s="6">
        <f>RANK('11of st. k.'!C28,'11of st. k.'!$C$4:'11of st. k.'!$C$29,1)+COUNTIF('11of st. k.'!$C$4:'11of st. k.'!C28,'11of st. k.'!C28)-1</f>
        <v>11</v>
      </c>
      <c r="C28" s="5" t="str">
        <f>INDEX('11of st. k.'!B4:G29,MATCH(25,B4:B29,0),1)</f>
        <v>Rzeszów</v>
      </c>
      <c r="D28" s="6">
        <f>INDEX('11of st. k.'!B4:G29,MATCH(25,B4:B29,0),2)</f>
        <v>394</v>
      </c>
      <c r="E28" s="61">
        <f>INDEX('11of st. k.'!B4:G29,MATCH(25,B4:B29,0),3)</f>
        <v>412</v>
      </c>
      <c r="F28" s="6">
        <f>INDEX('11of st. k.'!B4:G29,MATCH(25,B4:B29,0),4)</f>
        <v>-18</v>
      </c>
      <c r="G28" s="61">
        <f>INDEX('11of st. k.'!B4:G29,MATCH(25,B4:B29,0),5)</f>
        <v>477</v>
      </c>
      <c r="H28" s="6">
        <f>INDEX('11of st. k.'!B4:G29,MATCH(25,B4:B29,0),6)</f>
        <v>-83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2289</v>
      </c>
      <c r="E29" s="63">
        <f>INDEX('11of st. k.'!B4:G29,MATCH(26,B4:B29,0),3)</f>
        <v>2183</v>
      </c>
      <c r="F29" s="59">
        <f>INDEX('11of st. k.'!B4:G29,MATCH(26,B4:B29,0),4)</f>
        <v>106</v>
      </c>
      <c r="G29" s="63">
        <f>INDEX('11of st. k.'!B4:G29,MATCH(26,B4:B29,0),5)</f>
        <v>3117</v>
      </c>
      <c r="H29" s="59">
        <f>INDEX('11of st. k.'!B4:G29,MATCH(26,B4:B29,0),6)</f>
        <v>-828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9" tint="-0.249977111117893"/>
  </sheetPr>
  <dimension ref="B1:AA57"/>
  <sheetViews>
    <sheetView tabSelected="1" zoomScale="110" zoomScaleNormal="110" workbookViewId="0">
      <selection activeCell="F2" sqref="F2"/>
    </sheetView>
  </sheetViews>
  <sheetFormatPr defaultRowHeight="11.25" x14ac:dyDescent="0.2"/>
  <cols>
    <col min="1" max="1" width="3.28515625" style="84" customWidth="1"/>
    <col min="2" max="2" width="20" style="84" customWidth="1"/>
    <col min="3" max="7" width="9.140625" style="84"/>
    <col min="8" max="8" width="11.28515625" style="84" customWidth="1"/>
    <col min="9" max="13" width="9.140625" style="84"/>
    <col min="14" max="14" width="10.85546875" style="84" customWidth="1"/>
    <col min="15" max="16" width="9.140625" style="84"/>
    <col min="17" max="17" width="6.5703125" style="84" customWidth="1"/>
    <col min="18" max="18" width="6.28515625" style="84" customWidth="1"/>
    <col min="19" max="19" width="3.140625" style="84" customWidth="1"/>
    <col min="20" max="20" width="7.140625" style="84" customWidth="1"/>
    <col min="21" max="21" width="7" style="84" customWidth="1"/>
    <col min="22" max="26" width="9.140625" style="84"/>
    <col min="27" max="27" width="9.140625" style="177"/>
    <col min="28" max="16384" width="9.140625" style="84"/>
  </cols>
  <sheetData>
    <row r="1" spans="2:27" ht="14.25" customHeight="1" thickBot="1" x14ac:dyDescent="0.25">
      <c r="B1" s="104" t="s">
        <v>117</v>
      </c>
      <c r="C1" s="52"/>
      <c r="D1" s="52"/>
      <c r="E1" s="52"/>
      <c r="F1" s="52"/>
      <c r="G1" s="52"/>
      <c r="H1" s="52"/>
      <c r="I1" s="52"/>
      <c r="J1" s="52"/>
      <c r="K1" s="52"/>
      <c r="L1" s="83" t="s">
        <v>104</v>
      </c>
      <c r="M1" s="52"/>
      <c r="N1" s="52"/>
      <c r="O1" s="52"/>
      <c r="P1" s="52"/>
      <c r="Q1" s="52"/>
      <c r="R1" s="83" t="s">
        <v>105</v>
      </c>
      <c r="S1" s="83"/>
      <c r="T1" s="83"/>
      <c r="U1" s="52"/>
      <c r="V1" s="52"/>
      <c r="W1" s="52"/>
      <c r="X1" s="52"/>
      <c r="Y1" s="52"/>
      <c r="Z1" s="83"/>
    </row>
    <row r="2" spans="2:27" ht="45.75" thickBot="1" x14ac:dyDescent="0.25">
      <c r="B2" s="130" t="s">
        <v>27</v>
      </c>
      <c r="C2" s="131" t="s">
        <v>146</v>
      </c>
      <c r="D2" s="131" t="s">
        <v>147</v>
      </c>
      <c r="E2" s="132" t="s">
        <v>106</v>
      </c>
      <c r="F2" s="133" t="s">
        <v>157</v>
      </c>
      <c r="G2" s="134" t="s">
        <v>158</v>
      </c>
      <c r="H2" s="135" t="s">
        <v>107</v>
      </c>
      <c r="I2" s="139" t="s">
        <v>148</v>
      </c>
      <c r="J2" s="140" t="s">
        <v>149</v>
      </c>
      <c r="K2" s="141" t="s">
        <v>108</v>
      </c>
      <c r="L2" s="146" t="s">
        <v>109</v>
      </c>
      <c r="M2" s="147" t="s">
        <v>110</v>
      </c>
      <c r="N2" s="148" t="s">
        <v>150</v>
      </c>
      <c r="O2" s="148" t="s">
        <v>151</v>
      </c>
      <c r="P2" s="132" t="s">
        <v>152</v>
      </c>
      <c r="Q2" s="113" t="s">
        <v>111</v>
      </c>
      <c r="R2" s="114" t="s">
        <v>112</v>
      </c>
      <c r="S2" s="86"/>
      <c r="T2" s="111" t="s">
        <v>113</v>
      </c>
      <c r="U2" s="158" t="s">
        <v>114</v>
      </c>
      <c r="V2" s="111" t="s">
        <v>104</v>
      </c>
      <c r="W2" s="165" t="s">
        <v>104</v>
      </c>
      <c r="X2" s="111" t="s">
        <v>105</v>
      </c>
      <c r="Y2" s="165" t="s">
        <v>105</v>
      </c>
      <c r="Z2" s="171"/>
    </row>
    <row r="3" spans="2:27" x14ac:dyDescent="0.2">
      <c r="B3" s="105" t="s">
        <v>0</v>
      </c>
      <c r="C3" s="87">
        <v>458</v>
      </c>
      <c r="D3" s="106">
        <v>458</v>
      </c>
      <c r="E3" s="127">
        <f t="shared" ref="E3:E27" si="0">D3-C3</f>
        <v>0</v>
      </c>
      <c r="F3" s="85">
        <v>140</v>
      </c>
      <c r="G3" s="87">
        <v>196</v>
      </c>
      <c r="H3" s="89">
        <f t="shared" ref="H3:H27" si="1">G3-F3</f>
        <v>56</v>
      </c>
      <c r="I3" s="85">
        <v>135</v>
      </c>
      <c r="J3" s="87">
        <v>122</v>
      </c>
      <c r="K3" s="89">
        <f t="shared" ref="K3:K27" si="2">J3-I3</f>
        <v>-13</v>
      </c>
      <c r="L3" s="143">
        <f t="shared" ref="L3:L27" si="3">E3+H3+K3</f>
        <v>43</v>
      </c>
      <c r="M3" s="136">
        <v>1112</v>
      </c>
      <c r="N3" s="87">
        <v>888</v>
      </c>
      <c r="O3" s="87">
        <v>1027</v>
      </c>
      <c r="P3" s="89">
        <v>973</v>
      </c>
      <c r="Q3" s="103">
        <f>SUM(M3)+N3-O3</f>
        <v>973</v>
      </c>
      <c r="R3" s="190">
        <f>SUM(P3-M3)</f>
        <v>-139</v>
      </c>
      <c r="S3" s="91"/>
      <c r="T3" s="103">
        <f>RANK(L3,$L$3:$L$27,1)+COUNTIF($L$3:L3,L3)-1</f>
        <v>21</v>
      </c>
      <c r="U3" s="159">
        <f>RANK(R3,$R$3:$R$27,1)+COUNTIF($R$3:R3,R3)-1</f>
        <v>13</v>
      </c>
      <c r="V3" s="166" t="str">
        <f>INDEX(B3:L27,MATCH(1,T3:T27,0),1)</f>
        <v>mielecki</v>
      </c>
      <c r="W3" s="89">
        <f>INDEX(B3:L27,MATCH(1,T3:T27,0),11)</f>
        <v>-415</v>
      </c>
      <c r="X3" s="166" t="str">
        <f>INDEX(B3:R27,MATCH(1,U3:U27,0),1)</f>
        <v>jarosławski</v>
      </c>
      <c r="Y3" s="89">
        <f>INDEX(B3:R27,MATCH(1,U3:U27,0),17)</f>
        <v>-459</v>
      </c>
      <c r="Z3" s="172">
        <v>1</v>
      </c>
      <c r="AA3" s="178">
        <f>SUM(T3)-U3</f>
        <v>8</v>
      </c>
    </row>
    <row r="4" spans="2:27" x14ac:dyDescent="0.2">
      <c r="B4" s="107" t="s">
        <v>1</v>
      </c>
      <c r="C4" s="93">
        <v>1222</v>
      </c>
      <c r="D4" s="108">
        <v>1238</v>
      </c>
      <c r="E4" s="128">
        <f t="shared" si="0"/>
        <v>16</v>
      </c>
      <c r="F4" s="97">
        <v>354</v>
      </c>
      <c r="G4" s="93">
        <v>349</v>
      </c>
      <c r="H4" s="186">
        <f t="shared" si="1"/>
        <v>-5</v>
      </c>
      <c r="I4" s="97">
        <v>216</v>
      </c>
      <c r="J4" s="93">
        <v>184</v>
      </c>
      <c r="K4" s="96">
        <f t="shared" si="2"/>
        <v>-32</v>
      </c>
      <c r="L4" s="188">
        <f t="shared" si="3"/>
        <v>-21</v>
      </c>
      <c r="M4" s="137">
        <v>4038</v>
      </c>
      <c r="N4" s="93">
        <v>2412</v>
      </c>
      <c r="O4" s="93">
        <v>2783</v>
      </c>
      <c r="P4" s="96">
        <v>3667</v>
      </c>
      <c r="Q4" s="97">
        <f t="shared" ref="Q4:Q27" si="4">SUM(M4)+N4-O4</f>
        <v>3667</v>
      </c>
      <c r="R4" s="191">
        <f>SUM(P4-M4)</f>
        <v>-371</v>
      </c>
      <c r="S4" s="91"/>
      <c r="T4" s="90">
        <f>RANK(L4,$L$3:$L$27,1)+COUNTIF($L$3:L4,L4)-1</f>
        <v>18</v>
      </c>
      <c r="U4" s="160">
        <f>RANK(R4,$R$3:$R$27,1)+COUNTIF($R$3:R4,R4)-1</f>
        <v>2</v>
      </c>
      <c r="V4" s="167" t="str">
        <f>INDEX(B3:L27,MATCH(2,T3:T27,0),1)</f>
        <v>rzeszowski</v>
      </c>
      <c r="W4" s="96">
        <f>INDEX(B3:L27,MATCH(2,T3:T27,0),11)</f>
        <v>-329</v>
      </c>
      <c r="X4" s="167" t="str">
        <f>INDEX(B3:R27,MATCH(2,U3:U27,0),1)</f>
        <v>brzozowski</v>
      </c>
      <c r="Y4" s="96">
        <f>INDEX(B3:R27,MATCH(2,U3:U27,0),17)</f>
        <v>-371</v>
      </c>
      <c r="Z4" s="173">
        <v>2</v>
      </c>
      <c r="AA4" s="177">
        <f t="shared" ref="AA4:AA28" si="5">SUM(T4)-U4</f>
        <v>16</v>
      </c>
    </row>
    <row r="5" spans="2:27" x14ac:dyDescent="0.2">
      <c r="B5" s="107" t="s">
        <v>2</v>
      </c>
      <c r="C5" s="93">
        <v>1334</v>
      </c>
      <c r="D5" s="108">
        <v>1237</v>
      </c>
      <c r="E5" s="182">
        <f t="shared" si="0"/>
        <v>-97</v>
      </c>
      <c r="F5" s="97">
        <v>348</v>
      </c>
      <c r="G5" s="93">
        <v>336</v>
      </c>
      <c r="H5" s="186">
        <f t="shared" si="1"/>
        <v>-12</v>
      </c>
      <c r="I5" s="97">
        <v>184</v>
      </c>
      <c r="J5" s="93">
        <v>162</v>
      </c>
      <c r="K5" s="96">
        <f t="shared" si="2"/>
        <v>-22</v>
      </c>
      <c r="L5" s="188">
        <f t="shared" si="3"/>
        <v>-131</v>
      </c>
      <c r="M5" s="137">
        <v>2435</v>
      </c>
      <c r="N5" s="93">
        <v>2932</v>
      </c>
      <c r="O5" s="93">
        <v>2969</v>
      </c>
      <c r="P5" s="96">
        <v>2398</v>
      </c>
      <c r="Q5" s="97">
        <f t="shared" si="4"/>
        <v>2398</v>
      </c>
      <c r="R5" s="186">
        <f t="shared" ref="R5:R27" si="6">SUM(P5-M5)</f>
        <v>-37</v>
      </c>
      <c r="S5" s="83"/>
      <c r="T5" s="90">
        <f>RANK(L5,$L$3:$L$27,1)+COUNTIF($L$3:L5,L5)-1</f>
        <v>9</v>
      </c>
      <c r="U5" s="160">
        <f>RANK(R5,$R$3:$R$27,1)+COUNTIF($R$3:R5,R5)-1</f>
        <v>18</v>
      </c>
      <c r="V5" s="167" t="str">
        <f>INDEX(B3:L27,MATCH(3,T3:T27,0),1)</f>
        <v>Rzeszów</v>
      </c>
      <c r="W5" s="96">
        <f>INDEX(B3:L27,MATCH(3,T3:T27,0),11)</f>
        <v>-297</v>
      </c>
      <c r="X5" s="167" t="str">
        <f>INDEX(B3:R27,MATCH(3,U3:U27,0),1)</f>
        <v>przeworski</v>
      </c>
      <c r="Y5" s="96">
        <f>INDEX(B3:R27,MATCH(3,U3:U27,0),17)</f>
        <v>-354</v>
      </c>
      <c r="Z5" s="173">
        <v>3</v>
      </c>
      <c r="AA5" s="177">
        <f t="shared" si="5"/>
        <v>-9</v>
      </c>
    </row>
    <row r="6" spans="2:27" x14ac:dyDescent="0.2">
      <c r="B6" s="107" t="s">
        <v>3</v>
      </c>
      <c r="C6" s="93">
        <v>1917</v>
      </c>
      <c r="D6" s="108">
        <v>1987</v>
      </c>
      <c r="E6" s="128">
        <f t="shared" si="0"/>
        <v>70</v>
      </c>
      <c r="F6" s="97">
        <v>758</v>
      </c>
      <c r="G6" s="93">
        <v>620</v>
      </c>
      <c r="H6" s="186">
        <f t="shared" si="1"/>
        <v>-138</v>
      </c>
      <c r="I6" s="97">
        <v>380</v>
      </c>
      <c r="J6" s="93">
        <v>331</v>
      </c>
      <c r="K6" s="96">
        <f t="shared" si="2"/>
        <v>-49</v>
      </c>
      <c r="L6" s="188">
        <f t="shared" si="3"/>
        <v>-117</v>
      </c>
      <c r="M6" s="137">
        <v>4674</v>
      </c>
      <c r="N6" s="93">
        <v>3912</v>
      </c>
      <c r="O6" s="93">
        <v>4371</v>
      </c>
      <c r="P6" s="96">
        <v>4215</v>
      </c>
      <c r="Q6" s="97">
        <f t="shared" si="4"/>
        <v>4215</v>
      </c>
      <c r="R6" s="186">
        <f t="shared" si="6"/>
        <v>-459</v>
      </c>
      <c r="S6" s="83"/>
      <c r="T6" s="90">
        <f>RANK(L6,$L$3:$L$27,1)+COUNTIF($L$3:L6,L6)-1</f>
        <v>10</v>
      </c>
      <c r="U6" s="160">
        <f>RANK(R6,$R$3:$R$27,1)+COUNTIF($R$3:R6,R6)-1</f>
        <v>1</v>
      </c>
      <c r="V6" s="167" t="str">
        <f>INDEX(B3:L27,MATCH(4,T3:T27,0),1)</f>
        <v>łańcucki</v>
      </c>
      <c r="W6" s="96">
        <f>INDEX(B3:L27,MATCH(4,T3:T27,0),11)</f>
        <v>-234</v>
      </c>
      <c r="X6" s="167" t="str">
        <f>INDEX(B3:R27,MATCH(4,U3:U27,0),1)</f>
        <v>rzeszowski</v>
      </c>
      <c r="Y6" s="96">
        <f>INDEX(B3:R27,MATCH(4,U3:U27,0),17)</f>
        <v>-337</v>
      </c>
      <c r="Z6" s="173">
        <v>4</v>
      </c>
      <c r="AA6" s="177">
        <f t="shared" si="5"/>
        <v>9</v>
      </c>
    </row>
    <row r="7" spans="2:27" x14ac:dyDescent="0.2">
      <c r="B7" s="107" t="s">
        <v>4</v>
      </c>
      <c r="C7" s="93">
        <v>1577</v>
      </c>
      <c r="D7" s="108">
        <v>1651</v>
      </c>
      <c r="E7" s="128">
        <f t="shared" si="0"/>
        <v>74</v>
      </c>
      <c r="F7" s="97">
        <v>548</v>
      </c>
      <c r="G7" s="93">
        <v>501</v>
      </c>
      <c r="H7" s="186">
        <f t="shared" si="1"/>
        <v>-47</v>
      </c>
      <c r="I7" s="97">
        <v>287</v>
      </c>
      <c r="J7" s="93">
        <v>271</v>
      </c>
      <c r="K7" s="96">
        <f t="shared" si="2"/>
        <v>-16</v>
      </c>
      <c r="L7" s="144">
        <f t="shared" si="3"/>
        <v>11</v>
      </c>
      <c r="M7" s="137">
        <v>4926</v>
      </c>
      <c r="N7" s="93">
        <v>3911</v>
      </c>
      <c r="O7" s="93">
        <v>4065</v>
      </c>
      <c r="P7" s="96">
        <v>4772</v>
      </c>
      <c r="Q7" s="97">
        <f t="shared" si="4"/>
        <v>4772</v>
      </c>
      <c r="R7" s="186">
        <f t="shared" si="6"/>
        <v>-154</v>
      </c>
      <c r="S7" s="83"/>
      <c r="T7" s="90">
        <f>RANK(L7,$L$3:$L$27,1)+COUNTIF($L$3:L7,L7)-1</f>
        <v>19</v>
      </c>
      <c r="U7" s="160">
        <f>RANK(R7,$R$3:$R$27,1)+COUNTIF($R$3:R7,R7)-1</f>
        <v>11</v>
      </c>
      <c r="V7" s="167" t="str">
        <f>INDEX(B3:L27,MATCH(5,T3:T27,0),1)</f>
        <v>ropczycko-sędziszowski</v>
      </c>
      <c r="W7" s="96">
        <f>INDEX(B3:L27,MATCH(5,T3:T27,0),11)</f>
        <v>-191</v>
      </c>
      <c r="X7" s="167" t="str">
        <f>INDEX(B3:R27,MATCH(5,U3:U27,0),1)</f>
        <v>przemyski</v>
      </c>
      <c r="Y7" s="96">
        <f>INDEX(B3:R27,MATCH(5,U3:U27,0),17)</f>
        <v>-327</v>
      </c>
      <c r="Z7" s="173">
        <v>5</v>
      </c>
      <c r="AA7" s="177">
        <f t="shared" si="5"/>
        <v>8</v>
      </c>
    </row>
    <row r="8" spans="2:27" x14ac:dyDescent="0.2">
      <c r="B8" s="107" t="s">
        <v>5</v>
      </c>
      <c r="C8" s="93">
        <v>740</v>
      </c>
      <c r="D8" s="108">
        <v>709</v>
      </c>
      <c r="E8" s="182">
        <f t="shared" si="0"/>
        <v>-31</v>
      </c>
      <c r="F8" s="97">
        <v>137</v>
      </c>
      <c r="G8" s="93">
        <v>221</v>
      </c>
      <c r="H8" s="96">
        <f t="shared" si="1"/>
        <v>84</v>
      </c>
      <c r="I8" s="97">
        <v>221</v>
      </c>
      <c r="J8" s="93">
        <v>145</v>
      </c>
      <c r="K8" s="96">
        <f t="shared" si="2"/>
        <v>-76</v>
      </c>
      <c r="L8" s="188">
        <f t="shared" si="3"/>
        <v>-23</v>
      </c>
      <c r="M8" s="137">
        <v>1577</v>
      </c>
      <c r="N8" s="93">
        <v>1602</v>
      </c>
      <c r="O8" s="93">
        <v>1668</v>
      </c>
      <c r="P8" s="96">
        <v>1511</v>
      </c>
      <c r="Q8" s="97">
        <f t="shared" si="4"/>
        <v>1511</v>
      </c>
      <c r="R8" s="186">
        <f t="shared" si="6"/>
        <v>-66</v>
      </c>
      <c r="S8" s="83"/>
      <c r="T8" s="90">
        <f>RANK(L8,$L$3:$L$27,1)+COUNTIF($L$3:L8,L8)-1</f>
        <v>17</v>
      </c>
      <c r="U8" s="160">
        <f>RANK(R8,$R$3:$R$27,1)+COUNTIF($R$3:R8,R8)-1</f>
        <v>17</v>
      </c>
      <c r="V8" s="167" t="str">
        <f>INDEX(B3:L27,MATCH(6,T3:T27,0),1)</f>
        <v>stalowowolski</v>
      </c>
      <c r="W8" s="96">
        <f>INDEX(B3:L27,MATCH(6,T3:T27,0),11)</f>
        <v>-189</v>
      </c>
      <c r="X8" s="167" t="str">
        <f>INDEX(B3:R27,MATCH(6,U3:U27,0),1)</f>
        <v>leżajski</v>
      </c>
      <c r="Y8" s="96">
        <f>INDEX(B3:R27,MATCH(6,U3:U27,0),17)</f>
        <v>-301</v>
      </c>
      <c r="Z8" s="173">
        <v>6</v>
      </c>
      <c r="AA8" s="179">
        <f t="shared" si="5"/>
        <v>0</v>
      </c>
    </row>
    <row r="9" spans="2:27" x14ac:dyDescent="0.2">
      <c r="B9" s="107" t="s">
        <v>6</v>
      </c>
      <c r="C9" s="93">
        <v>886</v>
      </c>
      <c r="D9" s="108">
        <v>998</v>
      </c>
      <c r="E9" s="128">
        <f t="shared" si="0"/>
        <v>112</v>
      </c>
      <c r="F9" s="97">
        <v>212</v>
      </c>
      <c r="G9" s="93">
        <v>223</v>
      </c>
      <c r="H9" s="96">
        <f t="shared" si="1"/>
        <v>11</v>
      </c>
      <c r="I9" s="97">
        <v>134</v>
      </c>
      <c r="J9" s="93">
        <v>112</v>
      </c>
      <c r="K9" s="96">
        <f t="shared" si="2"/>
        <v>-22</v>
      </c>
      <c r="L9" s="144">
        <f>E9+H9+K9</f>
        <v>101</v>
      </c>
      <c r="M9" s="137">
        <v>2018</v>
      </c>
      <c r="N9" s="93">
        <v>2405</v>
      </c>
      <c r="O9" s="93">
        <v>2297</v>
      </c>
      <c r="P9" s="96">
        <v>2126</v>
      </c>
      <c r="Q9" s="97">
        <f t="shared" si="4"/>
        <v>2126</v>
      </c>
      <c r="R9" s="181">
        <f>SUM(P9-M9)</f>
        <v>108</v>
      </c>
      <c r="S9" s="83"/>
      <c r="T9" s="90">
        <f>RANK(L9,$L$3:$L$27,1)+COUNTIF($L$3:L9,L9)-1</f>
        <v>25</v>
      </c>
      <c r="U9" s="160">
        <f>RANK(R9,$R$3:$R$27,1)+COUNTIF($R$3:R9,R9)-1</f>
        <v>24</v>
      </c>
      <c r="V9" s="167" t="str">
        <f>INDEX(B3:L27,MATCH(7,T3:T27,0),1)</f>
        <v>przemyski</v>
      </c>
      <c r="W9" s="96">
        <f>INDEX(B3:L27,MATCH(7,T3:T27,0),11)</f>
        <v>-138</v>
      </c>
      <c r="X9" s="167" t="str">
        <f>INDEX(B3:R27,MATCH(7,U3:U27,0),1)</f>
        <v>strzyżowski</v>
      </c>
      <c r="Y9" s="96">
        <f>INDEX(B3:R27,MATCH(7,U3:U27,0),17)</f>
        <v>-236</v>
      </c>
      <c r="Z9" s="173">
        <v>7</v>
      </c>
      <c r="AA9" s="179">
        <f t="shared" si="5"/>
        <v>1</v>
      </c>
    </row>
    <row r="10" spans="2:27" x14ac:dyDescent="0.2">
      <c r="B10" s="107" t="s">
        <v>7</v>
      </c>
      <c r="C10" s="93">
        <v>715</v>
      </c>
      <c r="D10" s="108">
        <v>652</v>
      </c>
      <c r="E10" s="182">
        <f t="shared" si="0"/>
        <v>-63</v>
      </c>
      <c r="F10" s="97">
        <v>152</v>
      </c>
      <c r="G10" s="93">
        <v>189</v>
      </c>
      <c r="H10" s="96">
        <f t="shared" si="1"/>
        <v>37</v>
      </c>
      <c r="I10" s="97">
        <v>92</v>
      </c>
      <c r="J10" s="93">
        <v>64</v>
      </c>
      <c r="K10" s="96">
        <f t="shared" si="2"/>
        <v>-28</v>
      </c>
      <c r="L10" s="188">
        <f t="shared" si="3"/>
        <v>-54</v>
      </c>
      <c r="M10" s="137">
        <v>1747</v>
      </c>
      <c r="N10" s="93">
        <v>973</v>
      </c>
      <c r="O10" s="93">
        <v>1179</v>
      </c>
      <c r="P10" s="96">
        <v>1541</v>
      </c>
      <c r="Q10" s="97">
        <f t="shared" si="4"/>
        <v>1541</v>
      </c>
      <c r="R10" s="186">
        <f t="shared" si="6"/>
        <v>-206</v>
      </c>
      <c r="S10" s="83"/>
      <c r="T10" s="90">
        <f>RANK(L10,$L$3:$L$27,1)+COUNTIF($L$3:L10,L10)-1</f>
        <v>16</v>
      </c>
      <c r="U10" s="160">
        <f>RANK(R10,$R$3:$R$27,1)+COUNTIF($R$3:R10,R10)-1</f>
        <v>8</v>
      </c>
      <c r="V10" s="167" t="str">
        <f>INDEX(B3:L27,MATCH(8,T3:T27,0),1)</f>
        <v>Przemyśl</v>
      </c>
      <c r="W10" s="96">
        <f>INDEX(B3:L27,MATCH(8,T3:T27,0),11)</f>
        <v>-132</v>
      </c>
      <c r="X10" s="167" t="str">
        <f>INDEX(B3:R27,MATCH(8,U3:U27,0),1)</f>
        <v>leski</v>
      </c>
      <c r="Y10" s="96">
        <f>INDEX(B3:R27,MATCH(8,U3:U27,0),17)</f>
        <v>-206</v>
      </c>
      <c r="Z10" s="173">
        <v>8</v>
      </c>
      <c r="AA10" s="177">
        <f t="shared" si="5"/>
        <v>8</v>
      </c>
    </row>
    <row r="11" spans="2:27" x14ac:dyDescent="0.2">
      <c r="B11" s="107" t="s">
        <v>8</v>
      </c>
      <c r="C11" s="93">
        <v>1146</v>
      </c>
      <c r="D11" s="108">
        <v>1047</v>
      </c>
      <c r="E11" s="182">
        <f t="shared" si="0"/>
        <v>-99</v>
      </c>
      <c r="F11" s="97">
        <v>341</v>
      </c>
      <c r="G11" s="93">
        <v>351</v>
      </c>
      <c r="H11" s="96">
        <f t="shared" si="1"/>
        <v>10</v>
      </c>
      <c r="I11" s="97">
        <v>416</v>
      </c>
      <c r="J11" s="93">
        <v>417</v>
      </c>
      <c r="K11" s="96">
        <f t="shared" si="2"/>
        <v>1</v>
      </c>
      <c r="L11" s="188">
        <f t="shared" si="3"/>
        <v>-88</v>
      </c>
      <c r="M11" s="137">
        <v>3198</v>
      </c>
      <c r="N11" s="93">
        <v>2702</v>
      </c>
      <c r="O11" s="93">
        <v>3003</v>
      </c>
      <c r="P11" s="96">
        <v>2897</v>
      </c>
      <c r="Q11" s="97">
        <f t="shared" si="4"/>
        <v>2897</v>
      </c>
      <c r="R11" s="186">
        <f t="shared" si="6"/>
        <v>-301</v>
      </c>
      <c r="S11" s="83"/>
      <c r="T11" s="90">
        <f>RANK(L11,$L$3:$L$27,1)+COUNTIF($L$3:L11,L11)-1</f>
        <v>13</v>
      </c>
      <c r="U11" s="160">
        <f>RANK(R11,$R$3:$R$27,1)+COUNTIF($R$3:R11,R11)-1</f>
        <v>6</v>
      </c>
      <c r="V11" s="167" t="str">
        <f>INDEX(B3:L27,MATCH(9,T3:T27,0),1)</f>
        <v>dębicki</v>
      </c>
      <c r="W11" s="96">
        <f>INDEX(B3:L27,MATCH(9,T3:T27,0),11)</f>
        <v>-131</v>
      </c>
      <c r="X11" s="167" t="str">
        <f>INDEX(B3:R27,MATCH(9,U3:U27,0),1)</f>
        <v>Rzeszów</v>
      </c>
      <c r="Y11" s="96">
        <f>INDEX(B3:R27,MATCH(9,U3:U27,0),17)</f>
        <v>-195</v>
      </c>
      <c r="Z11" s="173">
        <v>9</v>
      </c>
      <c r="AA11" s="177">
        <f t="shared" si="5"/>
        <v>7</v>
      </c>
    </row>
    <row r="12" spans="2:27" x14ac:dyDescent="0.2">
      <c r="B12" s="107" t="s">
        <v>9</v>
      </c>
      <c r="C12" s="93">
        <v>806</v>
      </c>
      <c r="D12" s="108">
        <v>781</v>
      </c>
      <c r="E12" s="182">
        <f t="shared" si="0"/>
        <v>-25</v>
      </c>
      <c r="F12" s="97">
        <v>249</v>
      </c>
      <c r="G12" s="93">
        <v>219</v>
      </c>
      <c r="H12" s="186">
        <f t="shared" si="1"/>
        <v>-30</v>
      </c>
      <c r="I12" s="97">
        <v>244</v>
      </c>
      <c r="J12" s="93">
        <v>244</v>
      </c>
      <c r="K12" s="96">
        <f t="shared" si="2"/>
        <v>0</v>
      </c>
      <c r="L12" s="188">
        <f t="shared" si="3"/>
        <v>-55</v>
      </c>
      <c r="M12" s="137">
        <v>1831</v>
      </c>
      <c r="N12" s="93">
        <v>1643</v>
      </c>
      <c r="O12" s="93">
        <v>1782</v>
      </c>
      <c r="P12" s="96">
        <v>1692</v>
      </c>
      <c r="Q12" s="97">
        <f t="shared" si="4"/>
        <v>1692</v>
      </c>
      <c r="R12" s="186">
        <f t="shared" si="6"/>
        <v>-139</v>
      </c>
      <c r="S12" s="83"/>
      <c r="T12" s="90">
        <f>RANK(L12,$L$3:$L$27,1)+COUNTIF($L$3:L12,L12)-1</f>
        <v>15</v>
      </c>
      <c r="U12" s="160">
        <f>RANK(R12,$R$3:$R$27,1)+COUNTIF($R$3:R12,R12)-1</f>
        <v>14</v>
      </c>
      <c r="V12" s="167" t="str">
        <f>INDEX(B3:L27,MATCH(10,T3:T27,0),1)</f>
        <v>jarosławski</v>
      </c>
      <c r="W12" s="96">
        <f>INDEX(B3:L27,MATCH(10,T3:T27,0),11)</f>
        <v>-117</v>
      </c>
      <c r="X12" s="167" t="str">
        <f>INDEX(B3:R27,MATCH(10,U3:U27,0),1)</f>
        <v>ropczycko-sędziszowski</v>
      </c>
      <c r="Y12" s="96">
        <f>INDEX(B3:R27,MATCH(10,U3:U27,0),17)</f>
        <v>-175</v>
      </c>
      <c r="Z12" s="173">
        <v>10</v>
      </c>
      <c r="AA12" s="177">
        <f t="shared" si="5"/>
        <v>1</v>
      </c>
    </row>
    <row r="13" spans="2:27" x14ac:dyDescent="0.2">
      <c r="B13" s="107" t="s">
        <v>10</v>
      </c>
      <c r="C13" s="93">
        <v>1409</v>
      </c>
      <c r="D13" s="108">
        <v>1195</v>
      </c>
      <c r="E13" s="182">
        <f t="shared" si="0"/>
        <v>-214</v>
      </c>
      <c r="F13" s="97">
        <v>380</v>
      </c>
      <c r="G13" s="93">
        <v>402</v>
      </c>
      <c r="H13" s="96">
        <f t="shared" si="1"/>
        <v>22</v>
      </c>
      <c r="I13" s="97">
        <v>227</v>
      </c>
      <c r="J13" s="93">
        <v>185</v>
      </c>
      <c r="K13" s="96">
        <f t="shared" si="2"/>
        <v>-42</v>
      </c>
      <c r="L13" s="188">
        <f t="shared" si="3"/>
        <v>-234</v>
      </c>
      <c r="M13" s="137">
        <v>2629</v>
      </c>
      <c r="N13" s="93">
        <v>2672</v>
      </c>
      <c r="O13" s="93">
        <v>2781</v>
      </c>
      <c r="P13" s="96">
        <v>2520</v>
      </c>
      <c r="Q13" s="97">
        <f t="shared" si="4"/>
        <v>2520</v>
      </c>
      <c r="R13" s="186">
        <f t="shared" si="6"/>
        <v>-109</v>
      </c>
      <c r="S13" s="83"/>
      <c r="T13" s="90">
        <f>RANK(L13,$L$3:$L$27,1)+COUNTIF($L$3:L13,L13)-1</f>
        <v>4</v>
      </c>
      <c r="U13" s="160">
        <f>RANK(R13,$R$3:$R$27,1)+COUNTIF($R$3:R13,R13)-1</f>
        <v>15</v>
      </c>
      <c r="V13" s="167" t="str">
        <f>INDEX(B3:L27,MATCH(11,T3:T27,0),1)</f>
        <v>Tarnobrzeg</v>
      </c>
      <c r="W13" s="96">
        <f>INDEX(B3:L27,MATCH(11,T3:T27,0),11)</f>
        <v>-114</v>
      </c>
      <c r="X13" s="167" t="str">
        <f>INDEX(B3:R27,MATCH(11,U3:U27,0),1)</f>
        <v>jasielski</v>
      </c>
      <c r="Y13" s="96">
        <f>INDEX(B3:R27,MATCH(11,U3:U27,0),17)</f>
        <v>-154</v>
      </c>
      <c r="Z13" s="173">
        <v>11</v>
      </c>
      <c r="AA13" s="177">
        <f t="shared" si="5"/>
        <v>-11</v>
      </c>
    </row>
    <row r="14" spans="2:27" x14ac:dyDescent="0.2">
      <c r="B14" s="107" t="s">
        <v>11</v>
      </c>
      <c r="C14" s="93">
        <v>1818</v>
      </c>
      <c r="D14" s="108">
        <v>1677</v>
      </c>
      <c r="E14" s="182">
        <f t="shared" si="0"/>
        <v>-141</v>
      </c>
      <c r="F14" s="97">
        <v>465</v>
      </c>
      <c r="G14" s="93">
        <v>402</v>
      </c>
      <c r="H14" s="186">
        <f t="shared" si="1"/>
        <v>-63</v>
      </c>
      <c r="I14" s="97">
        <v>505</v>
      </c>
      <c r="J14" s="93">
        <v>294</v>
      </c>
      <c r="K14" s="96">
        <f t="shared" si="2"/>
        <v>-211</v>
      </c>
      <c r="L14" s="188">
        <f t="shared" si="3"/>
        <v>-415</v>
      </c>
      <c r="M14" s="137">
        <v>2517</v>
      </c>
      <c r="N14" s="93">
        <v>3597</v>
      </c>
      <c r="O14" s="93">
        <v>3196</v>
      </c>
      <c r="P14" s="96">
        <v>2918</v>
      </c>
      <c r="Q14" s="97">
        <f t="shared" si="4"/>
        <v>2918</v>
      </c>
      <c r="R14" s="96">
        <f t="shared" si="6"/>
        <v>401</v>
      </c>
      <c r="S14" s="83"/>
      <c r="T14" s="90">
        <f>RANK(L14,$L$3:$L$27,1)+COUNTIF($L$3:L14,L14)-1</f>
        <v>1</v>
      </c>
      <c r="U14" s="161">
        <f>RANK(R14,$R$3:$R$27,1)+COUNTIF($R$3:R14,R14)-1</f>
        <v>25</v>
      </c>
      <c r="V14" s="167" t="str">
        <f>INDEX(B3:L27,MATCH(12,T3:T27,0),1)</f>
        <v>niżański</v>
      </c>
      <c r="W14" s="96">
        <f>INDEX(B3:L27,MATCH(12,T3:T27,0),11)</f>
        <v>-108</v>
      </c>
      <c r="X14" s="167" t="str">
        <f>INDEX(B3:R27,MATCH(12,U3:U27,0),1)</f>
        <v>Przemyśl</v>
      </c>
      <c r="Y14" s="96">
        <f>INDEX(B3:R27,MATCH(12,U3:U27,0),17)</f>
        <v>-144</v>
      </c>
      <c r="Z14" s="173">
        <v>12</v>
      </c>
      <c r="AA14" s="177">
        <f t="shared" si="5"/>
        <v>-24</v>
      </c>
    </row>
    <row r="15" spans="2:27" x14ac:dyDescent="0.2">
      <c r="B15" s="107" t="s">
        <v>12</v>
      </c>
      <c r="C15" s="93">
        <v>923</v>
      </c>
      <c r="D15" s="108">
        <v>925</v>
      </c>
      <c r="E15" s="128">
        <f t="shared" si="0"/>
        <v>2</v>
      </c>
      <c r="F15" s="97">
        <v>447</v>
      </c>
      <c r="G15" s="93">
        <v>397</v>
      </c>
      <c r="H15" s="186">
        <f t="shared" si="1"/>
        <v>-50</v>
      </c>
      <c r="I15" s="97">
        <v>307</v>
      </c>
      <c r="J15" s="93">
        <v>247</v>
      </c>
      <c r="K15" s="96">
        <f t="shared" si="2"/>
        <v>-60</v>
      </c>
      <c r="L15" s="188">
        <f t="shared" si="3"/>
        <v>-108</v>
      </c>
      <c r="M15" s="137">
        <v>3116</v>
      </c>
      <c r="N15" s="93">
        <v>2452</v>
      </c>
      <c r="O15" s="93">
        <v>2557</v>
      </c>
      <c r="P15" s="96">
        <v>3011</v>
      </c>
      <c r="Q15" s="97">
        <f t="shared" si="4"/>
        <v>3011</v>
      </c>
      <c r="R15" s="186">
        <f t="shared" si="6"/>
        <v>-105</v>
      </c>
      <c r="S15" s="83"/>
      <c r="T15" s="90">
        <f>RANK(L15,$L$3:$L$27,1)+COUNTIF($L$3:L15,L15)-1</f>
        <v>12</v>
      </c>
      <c r="U15" s="161">
        <f>RANK(R15,$R$3:$R$27,1)+COUNTIF($R$3:R15,R15)-1</f>
        <v>16</v>
      </c>
      <c r="V15" s="167" t="str">
        <f>INDEX(B3:L27,MATCH(13,T3:T27,0),1)</f>
        <v>leżajski</v>
      </c>
      <c r="W15" s="96">
        <f>INDEX(B3:L27,MATCH(13,T3:T27,0),11)</f>
        <v>-88</v>
      </c>
      <c r="X15" s="167" t="str">
        <f>INDEX(B3:R27,MATCH(13,U3:U27,0),1)</f>
        <v>bieszczadzki</v>
      </c>
      <c r="Y15" s="96">
        <f>INDEX(B3:R27,MATCH(13,U3:U27,0),17)</f>
        <v>-139</v>
      </c>
      <c r="Z15" s="173">
        <v>13</v>
      </c>
      <c r="AA15" s="177">
        <f t="shared" si="5"/>
        <v>-4</v>
      </c>
    </row>
    <row r="16" spans="2:27" x14ac:dyDescent="0.2">
      <c r="B16" s="107" t="s">
        <v>13</v>
      </c>
      <c r="C16" s="93">
        <v>985</v>
      </c>
      <c r="D16" s="108">
        <v>933</v>
      </c>
      <c r="E16" s="182">
        <f t="shared" si="0"/>
        <v>-52</v>
      </c>
      <c r="F16" s="97">
        <v>393</v>
      </c>
      <c r="G16" s="93">
        <v>314</v>
      </c>
      <c r="H16" s="186">
        <f t="shared" si="1"/>
        <v>-79</v>
      </c>
      <c r="I16" s="97">
        <v>93</v>
      </c>
      <c r="J16" s="93">
        <v>86</v>
      </c>
      <c r="K16" s="96">
        <f t="shared" si="2"/>
        <v>-7</v>
      </c>
      <c r="L16" s="188">
        <f t="shared" si="3"/>
        <v>-138</v>
      </c>
      <c r="M16" s="137">
        <v>3084</v>
      </c>
      <c r="N16" s="93">
        <v>2092</v>
      </c>
      <c r="O16" s="93">
        <v>2419</v>
      </c>
      <c r="P16" s="96">
        <v>2757</v>
      </c>
      <c r="Q16" s="97">
        <f t="shared" si="4"/>
        <v>2757</v>
      </c>
      <c r="R16" s="186">
        <f t="shared" si="6"/>
        <v>-327</v>
      </c>
      <c r="S16" s="83"/>
      <c r="T16" s="90">
        <f>RANK(L16,$L$3:$L$27,1)+COUNTIF($L$3:L16,L16)-1</f>
        <v>7</v>
      </c>
      <c r="U16" s="161">
        <f>RANK(R16,$R$3:$R$27,1)+COUNTIF($R$3:R16,R16)-1</f>
        <v>5</v>
      </c>
      <c r="V16" s="167" t="str">
        <f>INDEX(B3:L27,MATCH(14,T3:T27,0),1)</f>
        <v>tarnobrzeski</v>
      </c>
      <c r="W16" s="96">
        <f>INDEX(B3:L27,MATCH(14,T3:T27,0),11)</f>
        <v>-82</v>
      </c>
      <c r="X16" s="167" t="str">
        <f>INDEX(B3:R27,MATCH(14,U3:U27,0),1)</f>
        <v>lubaczowski</v>
      </c>
      <c r="Y16" s="96">
        <f>INDEX(B3:R27,MATCH(14,U3:U27,0),17)</f>
        <v>-139</v>
      </c>
      <c r="Z16" s="173">
        <v>14</v>
      </c>
      <c r="AA16" s="177">
        <f t="shared" si="5"/>
        <v>2</v>
      </c>
    </row>
    <row r="17" spans="2:27" x14ac:dyDescent="0.2">
      <c r="B17" s="107" t="s">
        <v>14</v>
      </c>
      <c r="C17" s="93">
        <v>1404</v>
      </c>
      <c r="D17" s="108">
        <v>1435</v>
      </c>
      <c r="E17" s="128">
        <f t="shared" si="0"/>
        <v>31</v>
      </c>
      <c r="F17" s="97">
        <v>531</v>
      </c>
      <c r="G17" s="93">
        <v>578</v>
      </c>
      <c r="H17" s="96">
        <f t="shared" si="1"/>
        <v>47</v>
      </c>
      <c r="I17" s="97">
        <v>410</v>
      </c>
      <c r="J17" s="93">
        <v>348</v>
      </c>
      <c r="K17" s="96">
        <f t="shared" si="2"/>
        <v>-62</v>
      </c>
      <c r="L17" s="144">
        <f t="shared" si="3"/>
        <v>16</v>
      </c>
      <c r="M17" s="137">
        <v>3654</v>
      </c>
      <c r="N17" s="93">
        <v>3057</v>
      </c>
      <c r="O17" s="93">
        <v>3411</v>
      </c>
      <c r="P17" s="96">
        <v>3300</v>
      </c>
      <c r="Q17" s="97">
        <f t="shared" si="4"/>
        <v>3300</v>
      </c>
      <c r="R17" s="186">
        <f t="shared" si="6"/>
        <v>-354</v>
      </c>
      <c r="S17" s="83"/>
      <c r="T17" s="90">
        <f>RANK(L17,$L$3:$L$27,1)+COUNTIF($L$3:L17,L17)-1</f>
        <v>20</v>
      </c>
      <c r="U17" s="161">
        <f>RANK(R17,$R$3:$R$27,1)+COUNTIF($R$3:R17,R17)-1</f>
        <v>3</v>
      </c>
      <c r="V17" s="167" t="str">
        <f>INDEX(B3:L27,MATCH(15,T3:T27,0),1)</f>
        <v>lubaczowski</v>
      </c>
      <c r="W17" s="96">
        <f>INDEX(B3:L27,MATCH(15,T3:T27,0),11)</f>
        <v>-55</v>
      </c>
      <c r="X17" s="167" t="str">
        <f>INDEX(B3:R27,MATCH(15,U3:U27,0),1)</f>
        <v>łańcucki</v>
      </c>
      <c r="Y17" s="96">
        <f>INDEX(B3:R27,MATCH(15,U3:U27,0),17)</f>
        <v>-109</v>
      </c>
      <c r="Z17" s="173">
        <v>15</v>
      </c>
      <c r="AA17" s="177">
        <f t="shared" si="5"/>
        <v>17</v>
      </c>
    </row>
    <row r="18" spans="2:27" ht="12" customHeight="1" x14ac:dyDescent="0.2">
      <c r="B18" s="107" t="s">
        <v>15</v>
      </c>
      <c r="C18" s="93">
        <v>1322</v>
      </c>
      <c r="D18" s="108">
        <v>1200</v>
      </c>
      <c r="E18" s="182">
        <f t="shared" si="0"/>
        <v>-122</v>
      </c>
      <c r="F18" s="97">
        <v>335</v>
      </c>
      <c r="G18" s="93">
        <v>311</v>
      </c>
      <c r="H18" s="186">
        <f t="shared" si="1"/>
        <v>-24</v>
      </c>
      <c r="I18" s="97">
        <v>221</v>
      </c>
      <c r="J18" s="93">
        <v>176</v>
      </c>
      <c r="K18" s="96">
        <f t="shared" si="2"/>
        <v>-45</v>
      </c>
      <c r="L18" s="188">
        <f t="shared" si="3"/>
        <v>-191</v>
      </c>
      <c r="M18" s="137">
        <v>2769</v>
      </c>
      <c r="N18" s="93">
        <v>2523</v>
      </c>
      <c r="O18" s="93">
        <v>2698</v>
      </c>
      <c r="P18" s="96">
        <v>2594</v>
      </c>
      <c r="Q18" s="97">
        <f t="shared" si="4"/>
        <v>2594</v>
      </c>
      <c r="R18" s="186">
        <f t="shared" si="6"/>
        <v>-175</v>
      </c>
      <c r="S18" s="83"/>
      <c r="T18" s="90">
        <f>RANK(L18,$L$3:$L$27,1)+COUNTIF($L$3:L18,L18)-1</f>
        <v>5</v>
      </c>
      <c r="U18" s="161">
        <f>RANK(R18,$R$3:$R$27,1)+COUNTIF($R$3:R18,R18)-1</f>
        <v>10</v>
      </c>
      <c r="V18" s="167" t="str">
        <f>INDEX(B3:L27,MATCH(16,T3:T27,0),1)</f>
        <v>leski</v>
      </c>
      <c r="W18" s="96">
        <f>INDEX(B3:L27,MATCH(16,T3:T27,0),11)</f>
        <v>-54</v>
      </c>
      <c r="X18" s="167" t="str">
        <f>INDEX(B3:R27,MATCH(16,U3:U27,0),1)</f>
        <v>niżański</v>
      </c>
      <c r="Y18" s="96">
        <f>INDEX(B3:R27,MATCH(16,U3:U27,0),17)</f>
        <v>-105</v>
      </c>
      <c r="Z18" s="173">
        <v>16</v>
      </c>
      <c r="AA18" s="177">
        <f t="shared" si="5"/>
        <v>-5</v>
      </c>
    </row>
    <row r="19" spans="2:27" x14ac:dyDescent="0.2">
      <c r="B19" s="107" t="s">
        <v>16</v>
      </c>
      <c r="C19" s="93">
        <v>2210</v>
      </c>
      <c r="D19" s="108">
        <v>2008</v>
      </c>
      <c r="E19" s="182">
        <f t="shared" si="0"/>
        <v>-202</v>
      </c>
      <c r="F19" s="97">
        <v>389</v>
      </c>
      <c r="G19" s="93">
        <v>335</v>
      </c>
      <c r="H19" s="186">
        <f t="shared" si="1"/>
        <v>-54</v>
      </c>
      <c r="I19" s="97">
        <v>243</v>
      </c>
      <c r="J19" s="93">
        <v>170</v>
      </c>
      <c r="K19" s="96">
        <f t="shared" si="2"/>
        <v>-73</v>
      </c>
      <c r="L19" s="188">
        <f t="shared" si="3"/>
        <v>-329</v>
      </c>
      <c r="M19" s="137">
        <v>4962</v>
      </c>
      <c r="N19" s="93">
        <v>3412</v>
      </c>
      <c r="O19" s="93">
        <v>3749</v>
      </c>
      <c r="P19" s="96">
        <v>4625</v>
      </c>
      <c r="Q19" s="97">
        <f t="shared" si="4"/>
        <v>4625</v>
      </c>
      <c r="R19" s="186">
        <f t="shared" si="6"/>
        <v>-337</v>
      </c>
      <c r="S19" s="83"/>
      <c r="T19" s="90">
        <f>RANK(L19,$L$3:$L$27,1)+COUNTIF($L$3:L19,L19)-1</f>
        <v>2</v>
      </c>
      <c r="U19" s="161">
        <f>RANK(R19,$R$3:$R$27,1)+COUNTIF($R$3:R19,R19)-1</f>
        <v>4</v>
      </c>
      <c r="V19" s="167" t="str">
        <f>INDEX(B3:L27,MATCH(17,T3:T27,0),1)</f>
        <v>kolbuszowski</v>
      </c>
      <c r="W19" s="96">
        <f>INDEX(B3:L27,MATCH(17,T3:T27,0),11)</f>
        <v>-23</v>
      </c>
      <c r="X19" s="167" t="str">
        <f>INDEX(B3:R27,MATCH(17,U3:U27,0),1)</f>
        <v>kolbuszowski</v>
      </c>
      <c r="Y19" s="96">
        <f>INDEX(B3:R27,MATCH(17,U3:U27,0),17)</f>
        <v>-66</v>
      </c>
      <c r="Z19" s="173">
        <v>17</v>
      </c>
      <c r="AA19" s="177">
        <f t="shared" si="5"/>
        <v>-2</v>
      </c>
    </row>
    <row r="20" spans="2:27" x14ac:dyDescent="0.2">
      <c r="B20" s="107" t="s">
        <v>17</v>
      </c>
      <c r="C20" s="93">
        <v>1008</v>
      </c>
      <c r="D20" s="108">
        <v>1109</v>
      </c>
      <c r="E20" s="128">
        <f t="shared" si="0"/>
        <v>101</v>
      </c>
      <c r="F20" s="97">
        <v>343</v>
      </c>
      <c r="G20" s="93">
        <v>309</v>
      </c>
      <c r="H20" s="186">
        <f t="shared" si="1"/>
        <v>-34</v>
      </c>
      <c r="I20" s="97">
        <v>133</v>
      </c>
      <c r="J20" s="93">
        <v>110</v>
      </c>
      <c r="K20" s="96">
        <f t="shared" si="2"/>
        <v>-23</v>
      </c>
      <c r="L20" s="144">
        <f t="shared" si="3"/>
        <v>44</v>
      </c>
      <c r="M20" s="137">
        <v>2644</v>
      </c>
      <c r="N20" s="93">
        <v>2339</v>
      </c>
      <c r="O20" s="93">
        <v>2319</v>
      </c>
      <c r="P20" s="96">
        <v>2664</v>
      </c>
      <c r="Q20" s="97">
        <f t="shared" si="4"/>
        <v>2664</v>
      </c>
      <c r="R20" s="96">
        <f t="shared" si="6"/>
        <v>20</v>
      </c>
      <c r="S20" s="83"/>
      <c r="T20" s="90">
        <f>RANK(L20,$L$3:$L$27,1)+COUNTIF($L$3:L20,L20)-1</f>
        <v>22</v>
      </c>
      <c r="U20" s="161">
        <f>RANK(R20,$R$3:$R$27,1)+COUNTIF($R$3:R20,R20)-1</f>
        <v>21</v>
      </c>
      <c r="V20" s="167" t="str">
        <f>INDEX(B3:L27,MATCH(18,T3:T27,0),1)</f>
        <v>brzozowski</v>
      </c>
      <c r="W20" s="96">
        <f>INDEX(B3:L27,MATCH(18,T3:T27,0),11)</f>
        <v>-21</v>
      </c>
      <c r="X20" s="167" t="str">
        <f>INDEX(B3:R27,MATCH(18,U3:U27,0),1)</f>
        <v>dębicki</v>
      </c>
      <c r="Y20" s="96">
        <f>INDEX(B3:R27,MATCH(18,U3:U27,0),17)</f>
        <v>-37</v>
      </c>
      <c r="Z20" s="173">
        <v>18</v>
      </c>
      <c r="AA20" s="179">
        <f t="shared" si="5"/>
        <v>1</v>
      </c>
    </row>
    <row r="21" spans="2:27" x14ac:dyDescent="0.2">
      <c r="B21" s="107" t="s">
        <v>18</v>
      </c>
      <c r="C21" s="93">
        <v>1167</v>
      </c>
      <c r="D21" s="108">
        <v>1144</v>
      </c>
      <c r="E21" s="182">
        <f t="shared" si="0"/>
        <v>-23</v>
      </c>
      <c r="F21" s="97">
        <v>301</v>
      </c>
      <c r="G21" s="93">
        <v>197</v>
      </c>
      <c r="H21" s="186">
        <f t="shared" si="1"/>
        <v>-104</v>
      </c>
      <c r="I21" s="97">
        <v>228</v>
      </c>
      <c r="J21" s="93">
        <v>166</v>
      </c>
      <c r="K21" s="96">
        <f t="shared" si="2"/>
        <v>-62</v>
      </c>
      <c r="L21" s="188">
        <f t="shared" si="3"/>
        <v>-189</v>
      </c>
      <c r="M21" s="137">
        <v>1841</v>
      </c>
      <c r="N21" s="93">
        <v>2513</v>
      </c>
      <c r="O21" s="93">
        <v>2431</v>
      </c>
      <c r="P21" s="96">
        <v>1923</v>
      </c>
      <c r="Q21" s="97">
        <f t="shared" si="4"/>
        <v>1923</v>
      </c>
      <c r="R21" s="96">
        <f t="shared" si="6"/>
        <v>82</v>
      </c>
      <c r="S21" s="83"/>
      <c r="T21" s="90">
        <f>RANK(L21,$L$3:$L$27,1)+COUNTIF($L$3:L21,L21)-1</f>
        <v>6</v>
      </c>
      <c r="U21" s="161">
        <f>RANK(R21,$R$3:$R$27,1)+COUNTIF($R$3:R21,R21)-1</f>
        <v>23</v>
      </c>
      <c r="V21" s="167" t="str">
        <f>INDEX(B3:L27,MATCH(19,T3:T27,0),1)</f>
        <v>jasielski</v>
      </c>
      <c r="W21" s="96">
        <f>INDEX(B3:L27,MATCH(19,T3:T27,0),11)</f>
        <v>11</v>
      </c>
      <c r="X21" s="167" t="str">
        <f>INDEX(B3:R27,MATCH(19,U3:U27,0),1)</f>
        <v>tarnobrzeski</v>
      </c>
      <c r="Y21" s="96">
        <f>INDEX(B3:R27,MATCH(19,U3:U27,0),17)</f>
        <v>-16</v>
      </c>
      <c r="Z21" s="173">
        <v>19</v>
      </c>
      <c r="AA21" s="177">
        <f t="shared" si="5"/>
        <v>-17</v>
      </c>
    </row>
    <row r="22" spans="2:27" x14ac:dyDescent="0.2">
      <c r="B22" s="107" t="s">
        <v>19</v>
      </c>
      <c r="C22" s="93">
        <v>1250</v>
      </c>
      <c r="D22" s="108">
        <v>1298</v>
      </c>
      <c r="E22" s="128">
        <f t="shared" si="0"/>
        <v>48</v>
      </c>
      <c r="F22" s="97">
        <v>350</v>
      </c>
      <c r="G22" s="93">
        <v>368</v>
      </c>
      <c r="H22" s="96">
        <f t="shared" si="1"/>
        <v>18</v>
      </c>
      <c r="I22" s="97">
        <v>466</v>
      </c>
      <c r="J22" s="93">
        <v>444</v>
      </c>
      <c r="K22" s="96">
        <f t="shared" si="2"/>
        <v>-22</v>
      </c>
      <c r="L22" s="144">
        <f t="shared" si="3"/>
        <v>44</v>
      </c>
      <c r="M22" s="137">
        <v>3266</v>
      </c>
      <c r="N22" s="93">
        <v>2601</v>
      </c>
      <c r="O22" s="93">
        <v>2837</v>
      </c>
      <c r="P22" s="96">
        <v>3030</v>
      </c>
      <c r="Q22" s="97">
        <f t="shared" si="4"/>
        <v>3030</v>
      </c>
      <c r="R22" s="186">
        <f t="shared" si="6"/>
        <v>-236</v>
      </c>
      <c r="S22" s="83"/>
      <c r="T22" s="90">
        <f>RANK(L22,$L$3:$L$27,1)+COUNTIF($L$3:L22,L22)-1</f>
        <v>23</v>
      </c>
      <c r="U22" s="161">
        <f>RANK(R22,$R$3:$R$27,1)+COUNTIF($R$3:R22,R22)-1</f>
        <v>7</v>
      </c>
      <c r="V22" s="167" t="str">
        <f>INDEX(B3:L27,MATCH(20,T3:T27,0),1)</f>
        <v>przeworski</v>
      </c>
      <c r="W22" s="96">
        <f>INDEX(B3:L27,MATCH(20,T3:T27,0),11)</f>
        <v>16</v>
      </c>
      <c r="X22" s="167" t="str">
        <f>INDEX(B3:R27,MATCH(20,U3:U27,0),1)</f>
        <v>Tarnobrzeg</v>
      </c>
      <c r="Y22" s="96">
        <f>INDEX(B3:R27,MATCH(20,U3:U27,0),17)</f>
        <v>13</v>
      </c>
      <c r="Z22" s="173">
        <v>20</v>
      </c>
      <c r="AA22" s="177">
        <f t="shared" si="5"/>
        <v>16</v>
      </c>
    </row>
    <row r="23" spans="2:27" ht="12" thickBot="1" x14ac:dyDescent="0.25">
      <c r="B23" s="109" t="s">
        <v>115</v>
      </c>
      <c r="C23" s="98">
        <v>733</v>
      </c>
      <c r="D23" s="110">
        <v>672</v>
      </c>
      <c r="E23" s="183">
        <f t="shared" si="0"/>
        <v>-61</v>
      </c>
      <c r="F23" s="122">
        <v>260</v>
      </c>
      <c r="G23" s="98">
        <v>244</v>
      </c>
      <c r="H23" s="187">
        <f t="shared" si="1"/>
        <v>-16</v>
      </c>
      <c r="I23" s="122">
        <v>138</v>
      </c>
      <c r="J23" s="98">
        <v>133</v>
      </c>
      <c r="K23" s="100">
        <f t="shared" si="2"/>
        <v>-5</v>
      </c>
      <c r="L23" s="189">
        <f t="shared" si="3"/>
        <v>-82</v>
      </c>
      <c r="M23" s="138">
        <v>1284</v>
      </c>
      <c r="N23" s="98">
        <v>1445</v>
      </c>
      <c r="O23" s="98">
        <v>1461</v>
      </c>
      <c r="P23" s="100">
        <v>1268</v>
      </c>
      <c r="Q23" s="101">
        <f t="shared" si="4"/>
        <v>1268</v>
      </c>
      <c r="R23" s="192">
        <f t="shared" si="6"/>
        <v>-16</v>
      </c>
      <c r="S23" s="83"/>
      <c r="T23" s="153">
        <f>RANK(L23,$L$3:$L$27,1)+COUNTIF($L$3:L23,L23)-1</f>
        <v>14</v>
      </c>
      <c r="U23" s="162">
        <f>RANK(R23,$R$3:$R$27,1)+COUNTIF($R$3:R23,R23)-1</f>
        <v>19</v>
      </c>
      <c r="V23" s="168" t="str">
        <f>INDEX(B3:L27,MATCH(21,T3:T27,0),1)</f>
        <v>bieszczadzki</v>
      </c>
      <c r="W23" s="102">
        <f>INDEX(B3:L27,MATCH(21,T3:T27,0),11)</f>
        <v>43</v>
      </c>
      <c r="X23" s="168" t="str">
        <f>INDEX(B3:R27,MATCH(21,U3:U27,0),1)</f>
        <v>sanocki</v>
      </c>
      <c r="Y23" s="102">
        <f>INDEX(B3:R27,MATCH(21,U3:U27,0),17)</f>
        <v>20</v>
      </c>
      <c r="Z23" s="174">
        <v>21</v>
      </c>
      <c r="AA23" s="177">
        <f t="shared" si="5"/>
        <v>-5</v>
      </c>
    </row>
    <row r="24" spans="2:27" x14ac:dyDescent="0.2">
      <c r="B24" s="92" t="s">
        <v>21</v>
      </c>
      <c r="C24" s="93">
        <v>345</v>
      </c>
      <c r="D24" s="94">
        <v>393</v>
      </c>
      <c r="E24" s="129">
        <f t="shared" si="0"/>
        <v>48</v>
      </c>
      <c r="F24" s="97">
        <v>78</v>
      </c>
      <c r="G24" s="93">
        <v>96</v>
      </c>
      <c r="H24" s="96">
        <f t="shared" si="1"/>
        <v>18</v>
      </c>
      <c r="I24" s="97">
        <v>53</v>
      </c>
      <c r="J24" s="93">
        <v>36</v>
      </c>
      <c r="K24" s="96">
        <f t="shared" si="2"/>
        <v>-17</v>
      </c>
      <c r="L24" s="144">
        <f t="shared" si="3"/>
        <v>49</v>
      </c>
      <c r="M24" s="137">
        <v>720</v>
      </c>
      <c r="N24" s="93">
        <v>974</v>
      </c>
      <c r="O24" s="93">
        <v>913</v>
      </c>
      <c r="P24" s="96">
        <v>781</v>
      </c>
      <c r="Q24" s="85">
        <f t="shared" si="4"/>
        <v>781</v>
      </c>
      <c r="R24" s="89">
        <f t="shared" si="6"/>
        <v>61</v>
      </c>
      <c r="S24" s="83"/>
      <c r="T24" s="152">
        <f>RANK(L24,$L$3:$L$27,1)+COUNTIF($L$3:L24,L24)-1</f>
        <v>24</v>
      </c>
      <c r="U24" s="180">
        <f>RANK(R24,$R$3:$R$27,1)+COUNTIF($R$3:R24,R24)-1</f>
        <v>22</v>
      </c>
      <c r="V24" s="169" t="str">
        <f>INDEX(B3:L27,MATCH(22,T3:T27,0),1)</f>
        <v>sanocki</v>
      </c>
      <c r="W24" s="89">
        <f>INDEX(B3:L27,MATCH(22,T3:T27,0),11)</f>
        <v>44</v>
      </c>
      <c r="X24" s="169" t="str">
        <f>INDEX(B3:R27,MATCH(22,U3:U27,0),1)</f>
        <v>Krosno</v>
      </c>
      <c r="Y24" s="89">
        <f>INDEX(B3:R27,MATCH(22,U3:U27,0),17)</f>
        <v>61</v>
      </c>
      <c r="Z24" s="172">
        <v>22</v>
      </c>
      <c r="AA24" s="179">
        <f t="shared" si="5"/>
        <v>2</v>
      </c>
    </row>
    <row r="25" spans="2:27" x14ac:dyDescent="0.2">
      <c r="B25" s="92" t="s">
        <v>22</v>
      </c>
      <c r="C25" s="93">
        <v>811</v>
      </c>
      <c r="D25" s="94">
        <v>692</v>
      </c>
      <c r="E25" s="184">
        <f t="shared" si="0"/>
        <v>-119</v>
      </c>
      <c r="F25" s="97">
        <v>241</v>
      </c>
      <c r="G25" s="93">
        <v>235</v>
      </c>
      <c r="H25" s="186">
        <f t="shared" si="1"/>
        <v>-6</v>
      </c>
      <c r="I25" s="97">
        <v>63</v>
      </c>
      <c r="J25" s="93">
        <v>56</v>
      </c>
      <c r="K25" s="96">
        <f t="shared" si="2"/>
        <v>-7</v>
      </c>
      <c r="L25" s="188">
        <f t="shared" si="3"/>
        <v>-132</v>
      </c>
      <c r="M25" s="137">
        <v>2487</v>
      </c>
      <c r="N25" s="93">
        <v>1628</v>
      </c>
      <c r="O25" s="93">
        <v>1772</v>
      </c>
      <c r="P25" s="96">
        <v>2343</v>
      </c>
      <c r="Q25" s="97">
        <f t="shared" si="4"/>
        <v>2343</v>
      </c>
      <c r="R25" s="186">
        <f t="shared" si="6"/>
        <v>-144</v>
      </c>
      <c r="S25" s="83"/>
      <c r="T25" s="90">
        <f>RANK(L25,$L$3:$L$27,1)+COUNTIF($L$3:L25,L25)-1</f>
        <v>8</v>
      </c>
      <c r="U25" s="161">
        <f>RANK(R25,$R$3:$R$27,1)+COUNTIF($R$3:R25,R25)-1</f>
        <v>12</v>
      </c>
      <c r="V25" s="167" t="str">
        <f>INDEX(B3:L27,MATCH(23,T3:T27,0),1)</f>
        <v>strzyżowski</v>
      </c>
      <c r="W25" s="96">
        <f>INDEX(B3:L27,MATCH(23,T3:T27,0),11)</f>
        <v>44</v>
      </c>
      <c r="X25" s="167" t="str">
        <f>INDEX(B3:R27,MATCH(23,U3:U27,0),1)</f>
        <v>stalowowolski</v>
      </c>
      <c r="Y25" s="96">
        <f>INDEX(B3:R27,MATCH(23,U3:U27,0),17)</f>
        <v>82</v>
      </c>
      <c r="Z25" s="173">
        <v>23</v>
      </c>
      <c r="AA25" s="177">
        <f t="shared" si="5"/>
        <v>-4</v>
      </c>
    </row>
    <row r="26" spans="2:27" x14ac:dyDescent="0.2">
      <c r="B26" s="92" t="s">
        <v>23</v>
      </c>
      <c r="C26" s="93">
        <v>2448</v>
      </c>
      <c r="D26" s="94">
        <v>2280</v>
      </c>
      <c r="E26" s="184">
        <f t="shared" si="0"/>
        <v>-168</v>
      </c>
      <c r="F26" s="97">
        <v>424</v>
      </c>
      <c r="G26" s="93">
        <v>372</v>
      </c>
      <c r="H26" s="186">
        <f t="shared" si="1"/>
        <v>-52</v>
      </c>
      <c r="I26" s="97">
        <v>293</v>
      </c>
      <c r="J26" s="93">
        <v>216</v>
      </c>
      <c r="K26" s="96">
        <f t="shared" si="2"/>
        <v>-77</v>
      </c>
      <c r="L26" s="188">
        <f t="shared" si="3"/>
        <v>-297</v>
      </c>
      <c r="M26" s="137">
        <v>5452</v>
      </c>
      <c r="N26" s="93">
        <v>4112</v>
      </c>
      <c r="O26" s="93">
        <v>4307</v>
      </c>
      <c r="P26" s="96">
        <v>5257</v>
      </c>
      <c r="Q26" s="97">
        <f t="shared" si="4"/>
        <v>5257</v>
      </c>
      <c r="R26" s="186">
        <f t="shared" si="6"/>
        <v>-195</v>
      </c>
      <c r="S26" s="83"/>
      <c r="T26" s="90">
        <f>RANK(L26,$L$3:$L$27,1)+COUNTIF($L$3:L26,L26)-1</f>
        <v>3</v>
      </c>
      <c r="U26" s="161">
        <f>RANK(R26,$R$3:$R$27,1)+COUNTIF($R$3:R26,R26)-1</f>
        <v>9</v>
      </c>
      <c r="V26" s="167" t="str">
        <f>INDEX(B3:L27,MATCH(24,T3:T27,0),1)</f>
        <v>Krosno</v>
      </c>
      <c r="W26" s="96">
        <f>INDEX(B3:L27,MATCH(24,T3:T27,0),11)</f>
        <v>49</v>
      </c>
      <c r="X26" s="167" t="str">
        <f>INDEX(B3:R27,MATCH(24,U3:U27,0),1)</f>
        <v>krośnieński</v>
      </c>
      <c r="Y26" s="96">
        <f>INDEX(B3:R27,MATCH(24,U3:U27,0),17)</f>
        <v>108</v>
      </c>
      <c r="Z26" s="173">
        <v>24</v>
      </c>
      <c r="AA26" s="177">
        <f t="shared" si="5"/>
        <v>-6</v>
      </c>
    </row>
    <row r="27" spans="2:27" ht="12" thickBot="1" x14ac:dyDescent="0.25">
      <c r="B27" s="120" t="s">
        <v>24</v>
      </c>
      <c r="C27" s="98">
        <v>630</v>
      </c>
      <c r="D27" s="121">
        <v>555</v>
      </c>
      <c r="E27" s="185">
        <f t="shared" si="0"/>
        <v>-75</v>
      </c>
      <c r="F27" s="122">
        <v>184</v>
      </c>
      <c r="G27" s="98">
        <v>171</v>
      </c>
      <c r="H27" s="187">
        <f t="shared" si="1"/>
        <v>-13</v>
      </c>
      <c r="I27" s="122">
        <v>171</v>
      </c>
      <c r="J27" s="98">
        <v>145</v>
      </c>
      <c r="K27" s="100">
        <f t="shared" si="2"/>
        <v>-26</v>
      </c>
      <c r="L27" s="189">
        <f t="shared" si="3"/>
        <v>-114</v>
      </c>
      <c r="M27" s="138">
        <v>1065</v>
      </c>
      <c r="N27" s="98">
        <v>1246</v>
      </c>
      <c r="O27" s="98">
        <v>1233</v>
      </c>
      <c r="P27" s="100">
        <v>1078</v>
      </c>
      <c r="Q27" s="122">
        <f t="shared" si="4"/>
        <v>1078</v>
      </c>
      <c r="R27" s="100">
        <f t="shared" si="6"/>
        <v>13</v>
      </c>
      <c r="S27" s="83"/>
      <c r="T27" s="125">
        <f>RANK(L27,$L$3:$L$27,1)+COUNTIF($L$3:L27,L27)-1</f>
        <v>11</v>
      </c>
      <c r="U27" s="163">
        <f>RANK(R27,$R$3:$R$27,1)+COUNTIF($R$3:R27,R27)-1</f>
        <v>20</v>
      </c>
      <c r="V27" s="170" t="str">
        <f>INDEX(B3:L27,MATCH(25,T3:T27,0),1)</f>
        <v>krośnieński</v>
      </c>
      <c r="W27" s="100">
        <f>INDEX(B3:L27,MATCH(25,T3:T27,0),11)</f>
        <v>101</v>
      </c>
      <c r="X27" s="170" t="str">
        <f>INDEX(B3:R27,MATCH(25,U3:U27,0),1)</f>
        <v>mielecki</v>
      </c>
      <c r="Y27" s="100">
        <f>INDEX(B3:R27,MATCH(25,U3:U27,0),17)</f>
        <v>401</v>
      </c>
      <c r="Z27" s="175">
        <v>25</v>
      </c>
      <c r="AA27" s="177">
        <f t="shared" si="5"/>
        <v>-9</v>
      </c>
    </row>
    <row r="28" spans="2:27" ht="12" thickBot="1" x14ac:dyDescent="0.25">
      <c r="B28" s="115" t="s">
        <v>116</v>
      </c>
      <c r="C28" s="116">
        <f>SUM(C3:C27)</f>
        <v>29264</v>
      </c>
      <c r="D28" s="117">
        <f>SUM(D3:D27)</f>
        <v>28274</v>
      </c>
      <c r="E28" s="118">
        <f t="shared" ref="E28:R28" si="7">SUM(E3:E27)</f>
        <v>-990</v>
      </c>
      <c r="F28" s="119">
        <f t="shared" si="7"/>
        <v>8360</v>
      </c>
      <c r="G28" s="116">
        <f t="shared" si="7"/>
        <v>7936</v>
      </c>
      <c r="H28" s="118">
        <f t="shared" si="7"/>
        <v>-424</v>
      </c>
      <c r="I28" s="119">
        <f t="shared" si="7"/>
        <v>5860</v>
      </c>
      <c r="J28" s="116">
        <f t="shared" si="7"/>
        <v>4864</v>
      </c>
      <c r="K28" s="118">
        <f t="shared" si="7"/>
        <v>-996</v>
      </c>
      <c r="L28" s="145">
        <f t="shared" si="7"/>
        <v>-2410</v>
      </c>
      <c r="M28" s="142">
        <f t="shared" si="7"/>
        <v>69046</v>
      </c>
      <c r="N28" s="116">
        <f t="shared" si="7"/>
        <v>60043</v>
      </c>
      <c r="O28" s="116">
        <f t="shared" si="7"/>
        <v>63228</v>
      </c>
      <c r="P28" s="118">
        <f t="shared" si="7"/>
        <v>65861</v>
      </c>
      <c r="Q28" s="119">
        <f t="shared" si="7"/>
        <v>65861</v>
      </c>
      <c r="R28" s="126">
        <f t="shared" si="7"/>
        <v>-3185</v>
      </c>
      <c r="S28" s="83"/>
      <c r="T28" s="123"/>
      <c r="U28" s="164"/>
      <c r="V28" s="123"/>
      <c r="W28" s="124"/>
      <c r="X28" s="123"/>
      <c r="Y28" s="124"/>
      <c r="Z28" s="176"/>
      <c r="AA28" s="177">
        <f t="shared" si="5"/>
        <v>0</v>
      </c>
    </row>
    <row r="30" spans="2:27" ht="12" thickBot="1" x14ac:dyDescent="0.25"/>
    <row r="31" spans="2:27" ht="45.75" thickBot="1" x14ac:dyDescent="0.25">
      <c r="B31" s="112" t="s">
        <v>27</v>
      </c>
      <c r="C31" s="154" t="s">
        <v>119</v>
      </c>
      <c r="D31" s="155" t="s">
        <v>153</v>
      </c>
      <c r="E31" s="155" t="s">
        <v>154</v>
      </c>
      <c r="F31" s="156" t="s">
        <v>155</v>
      </c>
      <c r="G31" s="113" t="s">
        <v>111</v>
      </c>
      <c r="H31" s="114" t="s">
        <v>112</v>
      </c>
    </row>
    <row r="32" spans="2:27" x14ac:dyDescent="0.2">
      <c r="B32" s="105" t="s">
        <v>0</v>
      </c>
      <c r="C32" s="88">
        <v>1184</v>
      </c>
      <c r="D32" s="87">
        <v>846</v>
      </c>
      <c r="E32" s="87">
        <v>993</v>
      </c>
      <c r="F32" s="89">
        <v>1037</v>
      </c>
      <c r="G32" s="103">
        <f>SUM(C32)+D32-E32</f>
        <v>1037</v>
      </c>
      <c r="H32" s="190">
        <f>SUM(F32-C32)</f>
        <v>-147</v>
      </c>
    </row>
    <row r="33" spans="2:8" x14ac:dyDescent="0.2">
      <c r="B33" s="107" t="s">
        <v>1</v>
      </c>
      <c r="C33" s="95">
        <v>4282</v>
      </c>
      <c r="D33" s="93">
        <v>2351</v>
      </c>
      <c r="E33" s="93">
        <v>2703</v>
      </c>
      <c r="F33" s="96">
        <v>3930</v>
      </c>
      <c r="G33" s="97">
        <f t="shared" ref="G33:G57" si="8">SUM(C33)+D33-E33</f>
        <v>3930</v>
      </c>
      <c r="H33" s="191">
        <f>SUM(F33-C33)</f>
        <v>-352</v>
      </c>
    </row>
    <row r="34" spans="2:8" x14ac:dyDescent="0.2">
      <c r="B34" s="107" t="s">
        <v>2</v>
      </c>
      <c r="C34" s="95">
        <v>2682</v>
      </c>
      <c r="D34" s="93">
        <v>2877</v>
      </c>
      <c r="E34" s="93">
        <v>3173</v>
      </c>
      <c r="F34" s="96">
        <v>2386</v>
      </c>
      <c r="G34" s="97">
        <f t="shared" si="8"/>
        <v>2386</v>
      </c>
      <c r="H34" s="186">
        <f t="shared" ref="H34:H57" si="9">SUM(F34-C34)</f>
        <v>-296</v>
      </c>
    </row>
    <row r="35" spans="2:8" x14ac:dyDescent="0.2">
      <c r="B35" s="107" t="s">
        <v>3</v>
      </c>
      <c r="C35" s="95">
        <v>5381</v>
      </c>
      <c r="D35" s="93">
        <v>3902</v>
      </c>
      <c r="E35" s="93">
        <v>4652</v>
      </c>
      <c r="F35" s="96">
        <v>4631</v>
      </c>
      <c r="G35" s="97">
        <f t="shared" si="8"/>
        <v>4631</v>
      </c>
      <c r="H35" s="186">
        <f t="shared" si="9"/>
        <v>-750</v>
      </c>
    </row>
    <row r="36" spans="2:8" x14ac:dyDescent="0.2">
      <c r="B36" s="107" t="s">
        <v>4</v>
      </c>
      <c r="C36" s="95">
        <v>5442</v>
      </c>
      <c r="D36" s="93">
        <v>3588</v>
      </c>
      <c r="E36" s="93">
        <v>4349</v>
      </c>
      <c r="F36" s="96">
        <v>4681</v>
      </c>
      <c r="G36" s="97">
        <f t="shared" si="8"/>
        <v>4681</v>
      </c>
      <c r="H36" s="186">
        <f t="shared" si="9"/>
        <v>-761</v>
      </c>
    </row>
    <row r="37" spans="2:8" x14ac:dyDescent="0.2">
      <c r="B37" s="107" t="s">
        <v>5</v>
      </c>
      <c r="C37" s="95">
        <v>1744</v>
      </c>
      <c r="D37" s="93">
        <v>1637</v>
      </c>
      <c r="E37" s="93">
        <v>1764</v>
      </c>
      <c r="F37" s="96">
        <v>1617</v>
      </c>
      <c r="G37" s="97">
        <f t="shared" si="8"/>
        <v>1617</v>
      </c>
      <c r="H37" s="186">
        <f t="shared" si="9"/>
        <v>-127</v>
      </c>
    </row>
    <row r="38" spans="2:8" x14ac:dyDescent="0.2">
      <c r="B38" s="107" t="s">
        <v>6</v>
      </c>
      <c r="C38" s="95">
        <v>1995</v>
      </c>
      <c r="D38" s="93">
        <v>2059</v>
      </c>
      <c r="E38" s="93">
        <v>2197</v>
      </c>
      <c r="F38" s="96">
        <v>1857</v>
      </c>
      <c r="G38" s="97">
        <f t="shared" si="8"/>
        <v>1857</v>
      </c>
      <c r="H38" s="186">
        <f t="shared" si="9"/>
        <v>-138</v>
      </c>
    </row>
    <row r="39" spans="2:8" x14ac:dyDescent="0.2">
      <c r="B39" s="107" t="s">
        <v>7</v>
      </c>
      <c r="C39" s="95">
        <v>1745</v>
      </c>
      <c r="D39" s="93">
        <v>1025</v>
      </c>
      <c r="E39" s="93">
        <v>1210</v>
      </c>
      <c r="F39" s="96">
        <v>1560</v>
      </c>
      <c r="G39" s="97">
        <f t="shared" si="8"/>
        <v>1560</v>
      </c>
      <c r="H39" s="186">
        <f t="shared" si="9"/>
        <v>-185</v>
      </c>
    </row>
    <row r="40" spans="2:8" x14ac:dyDescent="0.2">
      <c r="B40" s="107" t="s">
        <v>8</v>
      </c>
      <c r="C40" s="95">
        <v>3656</v>
      </c>
      <c r="D40" s="93">
        <v>2582</v>
      </c>
      <c r="E40" s="93">
        <v>3017</v>
      </c>
      <c r="F40" s="96">
        <v>3221</v>
      </c>
      <c r="G40" s="97">
        <f t="shared" si="8"/>
        <v>3221</v>
      </c>
      <c r="H40" s="186">
        <f t="shared" si="9"/>
        <v>-435</v>
      </c>
    </row>
    <row r="41" spans="2:8" x14ac:dyDescent="0.2">
      <c r="B41" s="107" t="s">
        <v>9</v>
      </c>
      <c r="C41" s="95">
        <v>2056</v>
      </c>
      <c r="D41" s="93">
        <v>1569</v>
      </c>
      <c r="E41" s="93">
        <v>2008</v>
      </c>
      <c r="F41" s="96">
        <v>1617</v>
      </c>
      <c r="G41" s="97">
        <f t="shared" si="8"/>
        <v>1617</v>
      </c>
      <c r="H41" s="186">
        <f t="shared" si="9"/>
        <v>-439</v>
      </c>
    </row>
    <row r="42" spans="2:8" x14ac:dyDescent="0.2">
      <c r="B42" s="107" t="s">
        <v>10</v>
      </c>
      <c r="C42" s="95">
        <v>3297</v>
      </c>
      <c r="D42" s="93">
        <v>2620</v>
      </c>
      <c r="E42" s="93">
        <v>3196</v>
      </c>
      <c r="F42" s="96">
        <v>2721</v>
      </c>
      <c r="G42" s="97">
        <f t="shared" si="8"/>
        <v>2721</v>
      </c>
      <c r="H42" s="186">
        <f t="shared" si="9"/>
        <v>-576</v>
      </c>
    </row>
    <row r="43" spans="2:8" x14ac:dyDescent="0.2">
      <c r="B43" s="107" t="s">
        <v>11</v>
      </c>
      <c r="C43" s="95">
        <v>2900</v>
      </c>
      <c r="D43" s="93">
        <v>3725</v>
      </c>
      <c r="E43" s="93">
        <v>3977</v>
      </c>
      <c r="F43" s="96">
        <v>2648</v>
      </c>
      <c r="G43" s="97">
        <f t="shared" si="8"/>
        <v>2648</v>
      </c>
      <c r="H43" s="186">
        <f t="shared" si="9"/>
        <v>-252</v>
      </c>
    </row>
    <row r="44" spans="2:8" x14ac:dyDescent="0.2">
      <c r="B44" s="107" t="s">
        <v>12</v>
      </c>
      <c r="C44" s="95">
        <v>3334</v>
      </c>
      <c r="D44" s="93">
        <v>2425</v>
      </c>
      <c r="E44" s="93">
        <v>2663</v>
      </c>
      <c r="F44" s="96">
        <v>3096</v>
      </c>
      <c r="G44" s="97">
        <f t="shared" si="8"/>
        <v>3096</v>
      </c>
      <c r="H44" s="186">
        <f t="shared" si="9"/>
        <v>-238</v>
      </c>
    </row>
    <row r="45" spans="2:8" x14ac:dyDescent="0.2">
      <c r="B45" s="107" t="s">
        <v>13</v>
      </c>
      <c r="C45" s="95">
        <v>3711</v>
      </c>
      <c r="D45" s="93">
        <v>2030</v>
      </c>
      <c r="E45" s="93">
        <v>2817</v>
      </c>
      <c r="F45" s="96">
        <v>2924</v>
      </c>
      <c r="G45" s="97">
        <f t="shared" si="8"/>
        <v>2924</v>
      </c>
      <c r="H45" s="186">
        <f t="shared" si="9"/>
        <v>-787</v>
      </c>
    </row>
    <row r="46" spans="2:8" x14ac:dyDescent="0.2">
      <c r="B46" s="107" t="s">
        <v>14</v>
      </c>
      <c r="C46" s="95">
        <v>3851</v>
      </c>
      <c r="D46" s="93">
        <v>3008</v>
      </c>
      <c r="E46" s="93">
        <v>3305</v>
      </c>
      <c r="F46" s="96">
        <v>3554</v>
      </c>
      <c r="G46" s="97">
        <f t="shared" si="8"/>
        <v>3554</v>
      </c>
      <c r="H46" s="186">
        <f t="shared" si="9"/>
        <v>-297</v>
      </c>
    </row>
    <row r="47" spans="2:8" x14ac:dyDescent="0.2">
      <c r="B47" s="107" t="s">
        <v>15</v>
      </c>
      <c r="C47" s="95">
        <v>3190</v>
      </c>
      <c r="D47" s="93">
        <v>2457</v>
      </c>
      <c r="E47" s="93">
        <v>2704</v>
      </c>
      <c r="F47" s="96">
        <v>2943</v>
      </c>
      <c r="G47" s="97">
        <f t="shared" si="8"/>
        <v>2943</v>
      </c>
      <c r="H47" s="186">
        <f t="shared" si="9"/>
        <v>-247</v>
      </c>
    </row>
    <row r="48" spans="2:8" x14ac:dyDescent="0.2">
      <c r="B48" s="107" t="s">
        <v>16</v>
      </c>
      <c r="C48" s="95">
        <v>5678</v>
      </c>
      <c r="D48" s="93">
        <v>3327</v>
      </c>
      <c r="E48" s="93">
        <v>4124</v>
      </c>
      <c r="F48" s="96">
        <v>4881</v>
      </c>
      <c r="G48" s="97">
        <f t="shared" si="8"/>
        <v>4881</v>
      </c>
      <c r="H48" s="186">
        <f t="shared" si="9"/>
        <v>-797</v>
      </c>
    </row>
    <row r="49" spans="2:8" x14ac:dyDescent="0.2">
      <c r="B49" s="107" t="s">
        <v>17</v>
      </c>
      <c r="C49" s="95">
        <v>2488</v>
      </c>
      <c r="D49" s="93">
        <v>2327</v>
      </c>
      <c r="E49" s="93">
        <v>2326</v>
      </c>
      <c r="F49" s="96">
        <v>2489</v>
      </c>
      <c r="G49" s="97">
        <f t="shared" si="8"/>
        <v>2489</v>
      </c>
      <c r="H49" s="96">
        <f t="shared" si="9"/>
        <v>1</v>
      </c>
    </row>
    <row r="50" spans="2:8" x14ac:dyDescent="0.2">
      <c r="B50" s="107" t="s">
        <v>18</v>
      </c>
      <c r="C50" s="95">
        <v>2204</v>
      </c>
      <c r="D50" s="93">
        <v>2617</v>
      </c>
      <c r="E50" s="93">
        <v>2818</v>
      </c>
      <c r="F50" s="96">
        <v>2003</v>
      </c>
      <c r="G50" s="97">
        <f t="shared" si="8"/>
        <v>2003</v>
      </c>
      <c r="H50" s="186">
        <f t="shared" si="9"/>
        <v>-201</v>
      </c>
    </row>
    <row r="51" spans="2:8" x14ac:dyDescent="0.2">
      <c r="B51" s="107" t="s">
        <v>19</v>
      </c>
      <c r="C51" s="95">
        <v>3535</v>
      </c>
      <c r="D51" s="93">
        <v>2410</v>
      </c>
      <c r="E51" s="93">
        <v>2740</v>
      </c>
      <c r="F51" s="96">
        <v>3205</v>
      </c>
      <c r="G51" s="97">
        <f t="shared" si="8"/>
        <v>3205</v>
      </c>
      <c r="H51" s="186">
        <f t="shared" si="9"/>
        <v>-330</v>
      </c>
    </row>
    <row r="52" spans="2:8" ht="12" thickBot="1" x14ac:dyDescent="0.25">
      <c r="B52" s="109" t="s">
        <v>115</v>
      </c>
      <c r="C52" s="99">
        <v>1610</v>
      </c>
      <c r="D52" s="98">
        <v>1343</v>
      </c>
      <c r="E52" s="98">
        <v>1646</v>
      </c>
      <c r="F52" s="100">
        <v>1307</v>
      </c>
      <c r="G52" s="101">
        <f t="shared" si="8"/>
        <v>1307</v>
      </c>
      <c r="H52" s="192">
        <f t="shared" si="9"/>
        <v>-303</v>
      </c>
    </row>
    <row r="53" spans="2:8" x14ac:dyDescent="0.2">
      <c r="B53" s="92" t="s">
        <v>21</v>
      </c>
      <c r="C53" s="95">
        <v>701</v>
      </c>
      <c r="D53" s="93">
        <v>912</v>
      </c>
      <c r="E53" s="93">
        <v>865</v>
      </c>
      <c r="F53" s="96">
        <v>748</v>
      </c>
      <c r="G53" s="85">
        <f t="shared" si="8"/>
        <v>748</v>
      </c>
      <c r="H53" s="157">
        <f>SUM(F53-C53)</f>
        <v>47</v>
      </c>
    </row>
    <row r="54" spans="2:8" x14ac:dyDescent="0.2">
      <c r="B54" s="92" t="s">
        <v>22</v>
      </c>
      <c r="C54" s="95">
        <v>2907</v>
      </c>
      <c r="D54" s="93">
        <v>1677</v>
      </c>
      <c r="E54" s="93">
        <v>2114</v>
      </c>
      <c r="F54" s="96">
        <v>2470</v>
      </c>
      <c r="G54" s="97">
        <f t="shared" si="8"/>
        <v>2470</v>
      </c>
      <c r="H54" s="186">
        <f t="shared" si="9"/>
        <v>-437</v>
      </c>
    </row>
    <row r="55" spans="2:8" x14ac:dyDescent="0.2">
      <c r="B55" s="92" t="s">
        <v>23</v>
      </c>
      <c r="C55" s="95">
        <v>6294</v>
      </c>
      <c r="D55" s="93">
        <v>4244</v>
      </c>
      <c r="E55" s="93">
        <v>4708</v>
      </c>
      <c r="F55" s="96">
        <v>5830</v>
      </c>
      <c r="G55" s="97">
        <f t="shared" si="8"/>
        <v>5830</v>
      </c>
      <c r="H55" s="186">
        <f t="shared" si="9"/>
        <v>-464</v>
      </c>
    </row>
    <row r="56" spans="2:8" ht="12" thickBot="1" x14ac:dyDescent="0.25">
      <c r="B56" s="120" t="s">
        <v>24</v>
      </c>
      <c r="C56" s="99">
        <v>1424</v>
      </c>
      <c r="D56" s="98">
        <v>1211</v>
      </c>
      <c r="E56" s="98">
        <v>1507</v>
      </c>
      <c r="F56" s="100">
        <v>1128</v>
      </c>
      <c r="G56" s="122">
        <f t="shared" si="8"/>
        <v>1128</v>
      </c>
      <c r="H56" s="187">
        <f t="shared" si="9"/>
        <v>-296</v>
      </c>
    </row>
    <row r="57" spans="2:8" ht="12" thickBot="1" x14ac:dyDescent="0.25">
      <c r="B57" s="115" t="s">
        <v>116</v>
      </c>
      <c r="C57" s="117">
        <f>SUM(C32:C56)</f>
        <v>77291</v>
      </c>
      <c r="D57" s="116">
        <f>SUM(D32:D56)</f>
        <v>58769</v>
      </c>
      <c r="E57" s="116">
        <f>SUM(E32:E56)</f>
        <v>67576</v>
      </c>
      <c r="F57" s="118">
        <f>SUM(F32:F56)</f>
        <v>68484</v>
      </c>
      <c r="G57" s="119">
        <f t="shared" si="8"/>
        <v>68484</v>
      </c>
      <c r="H57" s="118">
        <f t="shared" si="9"/>
        <v>-8807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2023-02-24T06:50:21Z</cp:lastPrinted>
  <dcterms:created xsi:type="dcterms:W3CDTF">2016-08-02T05:46:03Z</dcterms:created>
  <dcterms:modified xsi:type="dcterms:W3CDTF">2023-09-29T06:47:35Z</dcterms:modified>
</cp:coreProperties>
</file>