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ocaj\Desktop\"/>
    </mc:Choice>
  </mc:AlternateContent>
  <xr:revisionPtr revIDLastSave="0" documentId="13_ncr:1_{8505C0A6-B682-48AC-970E-8C2AAB99196C}" xr6:coauthVersionLast="47" xr6:coauthVersionMax="47" xr10:uidLastSave="{00000000-0000-0000-0000-000000000000}"/>
  <bookViews>
    <workbookView xWindow="-120" yWindow="-120" windowWidth="29040" windowHeight="15720" tabRatio="949" xr2:uid="{00000000-000D-0000-FFFF-FFFF00000000}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  <sheet name="11_of st. k." sheetId="26" r:id="rId21"/>
    <sheet name="11_sort" sheetId="27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D24" i="2"/>
  <c r="C24" i="2"/>
  <c r="D28" i="3"/>
  <c r="H3" i="27"/>
  <c r="G3" i="27"/>
  <c r="F3" i="27"/>
  <c r="E3" i="27"/>
  <c r="D3" i="27"/>
  <c r="C3" i="27"/>
  <c r="F29" i="26"/>
  <c r="D29" i="26"/>
  <c r="C29" i="26"/>
  <c r="B27" i="27" s="1"/>
  <c r="G28" i="26"/>
  <c r="E28" i="26"/>
  <c r="G27" i="26"/>
  <c r="E27" i="26"/>
  <c r="G26" i="26"/>
  <c r="E26" i="26"/>
  <c r="G25" i="26"/>
  <c r="E25" i="26"/>
  <c r="G24" i="26"/>
  <c r="E24" i="26"/>
  <c r="G23" i="26"/>
  <c r="E23" i="26"/>
  <c r="G22" i="26"/>
  <c r="E22" i="26"/>
  <c r="G21" i="26"/>
  <c r="E21" i="26"/>
  <c r="G20" i="26"/>
  <c r="E20" i="26"/>
  <c r="G19" i="26"/>
  <c r="E19" i="26"/>
  <c r="G18" i="26"/>
  <c r="E18" i="26"/>
  <c r="G17" i="26"/>
  <c r="E17" i="26"/>
  <c r="G16" i="26"/>
  <c r="E16" i="26"/>
  <c r="G15" i="26"/>
  <c r="E15" i="26"/>
  <c r="G14" i="26"/>
  <c r="E14" i="26"/>
  <c r="G13" i="26"/>
  <c r="E13" i="26"/>
  <c r="G12" i="26"/>
  <c r="E12" i="26"/>
  <c r="G11" i="26"/>
  <c r="E11" i="26"/>
  <c r="G10" i="26"/>
  <c r="E10" i="26"/>
  <c r="G9" i="26"/>
  <c r="E9" i="26"/>
  <c r="G8" i="26"/>
  <c r="E8" i="26"/>
  <c r="G7" i="26"/>
  <c r="E7" i="26"/>
  <c r="G6" i="26"/>
  <c r="E6" i="26"/>
  <c r="G5" i="26"/>
  <c r="E5" i="26"/>
  <c r="G4" i="26"/>
  <c r="E4" i="26"/>
  <c r="F28" i="4"/>
  <c r="B12" i="27" l="1"/>
  <c r="B16" i="27"/>
  <c r="B17" i="27"/>
  <c r="B18" i="27"/>
  <c r="B24" i="27"/>
  <c r="B25" i="27"/>
  <c r="B13" i="27"/>
  <c r="B26" i="27"/>
  <c r="B14" i="27"/>
  <c r="B4" i="27"/>
  <c r="B28" i="27"/>
  <c r="B5" i="27"/>
  <c r="B29" i="27"/>
  <c r="B6" i="27"/>
  <c r="B7" i="27"/>
  <c r="B19" i="27"/>
  <c r="B8" i="27"/>
  <c r="B20" i="27"/>
  <c r="B9" i="27"/>
  <c r="B21" i="27"/>
  <c r="B10" i="27"/>
  <c r="B22" i="27"/>
  <c r="E29" i="26"/>
  <c r="G29" i="26"/>
  <c r="B11" i="27"/>
  <c r="B23" i="27"/>
  <c r="B15" i="27"/>
  <c r="E12" i="13"/>
  <c r="G12" i="13"/>
  <c r="E4" i="27" l="1"/>
  <c r="E16" i="27"/>
  <c r="E28" i="27"/>
  <c r="D15" i="27"/>
  <c r="D27" i="27"/>
  <c r="G14" i="27"/>
  <c r="G26" i="27"/>
  <c r="E20" i="27"/>
  <c r="G18" i="27"/>
  <c r="D11" i="27"/>
  <c r="D25" i="27"/>
  <c r="G25" i="27"/>
  <c r="E5" i="27"/>
  <c r="E17" i="27"/>
  <c r="D4" i="27"/>
  <c r="D16" i="27"/>
  <c r="D28" i="27"/>
  <c r="G15" i="27"/>
  <c r="G27" i="27"/>
  <c r="D7" i="27"/>
  <c r="G9" i="27"/>
  <c r="D12" i="27"/>
  <c r="D26" i="27"/>
  <c r="E6" i="27"/>
  <c r="E18" i="27"/>
  <c r="D5" i="27"/>
  <c r="D17" i="27"/>
  <c r="G4" i="27"/>
  <c r="G16" i="27"/>
  <c r="G28" i="27"/>
  <c r="G6" i="27"/>
  <c r="D23" i="27"/>
  <c r="G12" i="27"/>
  <c r="E7" i="27"/>
  <c r="E19" i="27"/>
  <c r="D6" i="27"/>
  <c r="D18" i="27"/>
  <c r="G5" i="27"/>
  <c r="G17" i="27"/>
  <c r="E8" i="27"/>
  <c r="D19" i="27"/>
  <c r="E24" i="27"/>
  <c r="G24" i="27"/>
  <c r="E9" i="27"/>
  <c r="E21" i="27"/>
  <c r="D8" i="27"/>
  <c r="D20" i="27"/>
  <c r="G7" i="27"/>
  <c r="G19" i="27"/>
  <c r="E22" i="27"/>
  <c r="D9" i="27"/>
  <c r="D21" i="27"/>
  <c r="G20" i="27"/>
  <c r="G21" i="27"/>
  <c r="G10" i="27"/>
  <c r="G23" i="27"/>
  <c r="D13" i="27"/>
  <c r="G13" i="27"/>
  <c r="E10" i="27"/>
  <c r="G8" i="27"/>
  <c r="G22" i="27"/>
  <c r="D24" i="27"/>
  <c r="E27" i="27"/>
  <c r="E11" i="27"/>
  <c r="E23" i="27"/>
  <c r="D10" i="27"/>
  <c r="D22" i="27"/>
  <c r="G11" i="27"/>
  <c r="E15" i="27"/>
  <c r="E12" i="27"/>
  <c r="E26" i="27"/>
  <c r="E13" i="27"/>
  <c r="E25" i="27"/>
  <c r="D14" i="27"/>
  <c r="E14" i="27"/>
  <c r="F5" i="27"/>
  <c r="C21" i="27"/>
  <c r="C9" i="27"/>
  <c r="F26" i="27"/>
  <c r="H18" i="27"/>
  <c r="H5" i="27"/>
  <c r="C5" i="27"/>
  <c r="F21" i="27"/>
  <c r="F18" i="27"/>
  <c r="H21" i="27"/>
  <c r="F9" i="27"/>
  <c r="C26" i="27"/>
  <c r="H26" i="27"/>
  <c r="H9" i="27"/>
  <c r="H22" i="27"/>
  <c r="C22" i="27"/>
  <c r="F22" i="27"/>
  <c r="F16" i="27"/>
  <c r="H27" i="27"/>
  <c r="C29" i="27"/>
  <c r="F25" i="27"/>
  <c r="F17" i="27"/>
  <c r="H12" i="27"/>
  <c r="C17" i="27"/>
  <c r="H8" i="27"/>
  <c r="C25" i="27"/>
  <c r="D29" i="27"/>
  <c r="G29" i="27"/>
  <c r="F13" i="27"/>
  <c r="H23" i="27"/>
  <c r="F29" i="27"/>
  <c r="H28" i="27"/>
  <c r="C19" i="27"/>
  <c r="F10" i="27"/>
  <c r="C11" i="27"/>
  <c r="C28" i="27"/>
  <c r="C16" i="27"/>
  <c r="H11" i="27"/>
  <c r="C4" i="27"/>
  <c r="F24" i="27"/>
  <c r="H19" i="27"/>
  <c r="H16" i="27"/>
  <c r="H25" i="27"/>
  <c r="F6" i="27"/>
  <c r="C23" i="27"/>
  <c r="F12" i="27"/>
  <c r="H7" i="27"/>
  <c r="H4" i="27"/>
  <c r="H24" i="27"/>
  <c r="H20" i="27"/>
  <c r="C13" i="27"/>
  <c r="F15" i="27"/>
  <c r="H10" i="27"/>
  <c r="F4" i="27"/>
  <c r="F23" i="27"/>
  <c r="C24" i="27"/>
  <c r="F7" i="27"/>
  <c r="C8" i="27"/>
  <c r="F27" i="27"/>
  <c r="C27" i="27"/>
  <c r="F11" i="27"/>
  <c r="C12" i="27"/>
  <c r="H14" i="27"/>
  <c r="H13" i="27"/>
  <c r="H17" i="27"/>
  <c r="C15" i="27"/>
  <c r="E29" i="27"/>
  <c r="F20" i="27"/>
  <c r="C10" i="27"/>
  <c r="H29" i="27"/>
  <c r="C7" i="27"/>
  <c r="F8" i="27"/>
  <c r="H15" i="27"/>
  <c r="C18" i="27"/>
  <c r="C20" i="27"/>
  <c r="C6" i="27"/>
  <c r="F14" i="27"/>
  <c r="C14" i="27"/>
  <c r="H6" i="27"/>
  <c r="F28" i="27"/>
  <c r="F19" i="27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8" i="2" l="1"/>
  <c r="J28" i="10"/>
  <c r="F28" i="3" l="1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E4" i="14" l="1"/>
  <c r="E16" i="14"/>
  <c r="E28" i="14"/>
  <c r="G15" i="14"/>
  <c r="G27" i="14"/>
  <c r="D14" i="14"/>
  <c r="D26" i="14"/>
  <c r="E11" i="14"/>
  <c r="E13" i="14"/>
  <c r="D23" i="14"/>
  <c r="E15" i="14"/>
  <c r="E5" i="14"/>
  <c r="E17" i="14"/>
  <c r="G16" i="14"/>
  <c r="G28" i="14"/>
  <c r="D15" i="14"/>
  <c r="D27" i="14"/>
  <c r="G21" i="14"/>
  <c r="G10" i="14"/>
  <c r="G23" i="14"/>
  <c r="G24" i="14"/>
  <c r="G25" i="14"/>
  <c r="D25" i="14"/>
  <c r="E6" i="14"/>
  <c r="E18" i="14"/>
  <c r="G5" i="14"/>
  <c r="G17" i="14"/>
  <c r="D4" i="14"/>
  <c r="D16" i="14"/>
  <c r="D28" i="14"/>
  <c r="D20" i="14"/>
  <c r="G22" i="14"/>
  <c r="G11" i="14"/>
  <c r="E14" i="14"/>
  <c r="D13" i="14"/>
  <c r="E7" i="14"/>
  <c r="E19" i="14"/>
  <c r="G6" i="14"/>
  <c r="G18" i="14"/>
  <c r="D5" i="14"/>
  <c r="D17" i="14"/>
  <c r="G9" i="14"/>
  <c r="D9" i="14"/>
  <c r="D10" i="14"/>
  <c r="D11" i="14"/>
  <c r="D12" i="14"/>
  <c r="E27" i="14"/>
  <c r="E8" i="14"/>
  <c r="E20" i="14"/>
  <c r="G7" i="14"/>
  <c r="G19" i="14"/>
  <c r="D6" i="14"/>
  <c r="D18" i="14"/>
  <c r="D8" i="14"/>
  <c r="E23" i="14"/>
  <c r="D22" i="14"/>
  <c r="E25" i="14"/>
  <c r="G13" i="14"/>
  <c r="G14" i="14"/>
  <c r="E9" i="14"/>
  <c r="E21" i="14"/>
  <c r="G8" i="14"/>
  <c r="G20" i="14"/>
  <c r="D7" i="14"/>
  <c r="D19" i="14"/>
  <c r="E22" i="14"/>
  <c r="E24" i="14"/>
  <c r="G12" i="14"/>
  <c r="D24" i="14"/>
  <c r="G26" i="14"/>
  <c r="E10" i="14"/>
  <c r="E26" i="14"/>
  <c r="D21" i="14"/>
  <c r="E12" i="14"/>
  <c r="C22" i="14"/>
  <c r="C29" i="14"/>
  <c r="C13" i="14"/>
  <c r="C18" i="14"/>
  <c r="C25" i="14"/>
  <c r="C9" i="14"/>
  <c r="C14" i="14"/>
  <c r="C17" i="14"/>
  <c r="C6" i="14"/>
  <c r="C21" i="14"/>
  <c r="C26" i="14"/>
  <c r="C10" i="14"/>
  <c r="D29" i="14"/>
  <c r="C27" i="14"/>
  <c r="C23" i="14"/>
  <c r="C19" i="14"/>
  <c r="C15" i="14"/>
  <c r="C11" i="14"/>
  <c r="C7" i="14"/>
  <c r="C28" i="14"/>
  <c r="C24" i="14"/>
  <c r="C20" i="14"/>
  <c r="C16" i="14"/>
  <c r="C12" i="14"/>
  <c r="C8" i="14"/>
  <c r="C4" i="14"/>
  <c r="C5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F29" i="17" l="1"/>
  <c r="H30" i="17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G28" i="1" l="1"/>
  <c r="G4" i="14"/>
  <c r="G29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G28" i="6" l="1"/>
  <c r="H25" i="21"/>
  <c r="F26" i="21"/>
  <c r="F25" i="20"/>
  <c r="E28" i="3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28" i="2" l="1"/>
</calcChain>
</file>

<file path=xl/sharedStrings.xml><?xml version="1.0" encoding="utf-8"?>
<sst xmlns="http://schemas.openxmlformats.org/spreadsheetml/2006/main" count="448" uniqueCount="130">
  <si>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</si>
  <si>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</si>
  <si>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</si>
  <si>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</si>
  <si>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</si>
  <si>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</si>
  <si>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</si>
  <si>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</si>
  <si>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</si>
  <si>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</si>
  <si>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</si>
  <si>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</si>
  <si>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</si>
  <si>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</si>
  <si>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</si>
  <si>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</si>
  <si>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</si>
  <si>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</si>
  <si>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</si>
  <si>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</si>
  <si>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</si>
  <si>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</si>
  <si>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</si>
  <si>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</si>
  <si>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</si>
  <si>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</si>
  <si>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</si>
  <si>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</si>
  <si>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</si>
  <si>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</si>
  <si>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</si>
  <si>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</si>
  <si>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</si>
  <si>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</si>
  <si>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</si>
  <si>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</si>
  <si>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</si>
  <si>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</si>
  <si>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</si>
  <si>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</si>
  <si>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</si>
  <si>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</si>
  <si>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</si>
  <si>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</si>
  <si>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</si>
  <si>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</si>
  <si>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</si>
  <si>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</si>
  <si>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</si>
  <si>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</si>
  <si>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</si>
  <si>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</si>
  <si>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</si>
  <si>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</si>
  <si>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</si>
  <si>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</si>
  <si>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</si>
  <si>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</si>
  <si>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</si>
  <si>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</si>
  <si>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</si>
  <si>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</si>
  <si>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</si>
  <si>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</si>
  <si>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</si>
  <si>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</si>
  <si>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</si>
  <si>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</si>
  <si>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</si>
  <si>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</si>
  <si>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</si>
  <si>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</si>
  <si>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</si>
  <si>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</si>
  <si>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</si>
  <si>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</si>
  <si>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</si>
  <si>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</si>
  <si>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</si>
  <si>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</si>
  <si>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</si>
  <si>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</si>
  <si>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</si>
  <si>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</si>
  <si>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</si>
  <si>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</si>
  <si>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</si>
  <si>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</si>
  <si>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</si>
  <si>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</si>
  <si>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</si>
  <si>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</si>
  <si>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</si>
  <si>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</si>
  <si>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</si>
  <si>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</si>
  <si>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</si>
  <si>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</si>
  <si>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</si>
  <si>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Oferty pracy ogółem według stanu na koniec miesiąca</t>
  </si>
  <si>
    <t>(wolne miejsca pracy i miejsca aktywizacji zawodowej)</t>
  </si>
  <si>
    <t>Oferty pracy ogółem według stanu na koniec miesiąca (wolne miejsca pracy i miejsca aktywizacji zawodowej) wg powiatów</t>
  </si>
  <si>
    <t>* GUS - BDL.</t>
  </si>
  <si>
    <t>liczba bezrobotnych ogółem stan na 28 II '23 r.</t>
  </si>
  <si>
    <t>liczba bezrobotnych kobiet stan na 28 II '23 r.</t>
  </si>
  <si>
    <t>Stopa bezrobocia stan na 28 II '23 r. (w proc.)*</t>
  </si>
  <si>
    <t>liczba bezrobotnych zam. na wsi stan na 28 II '23 r.</t>
  </si>
  <si>
    <t>liczba bezrobotnych pow. 12 m-cy stan na 28 II '23 r.</t>
  </si>
  <si>
    <t>liczba bezrobotnych do 30 r. ż. stan na 28 II '23 r.</t>
  </si>
  <si>
    <t>liczba bezrobotnych 50+ stan na 28 II '23 r.</t>
  </si>
  <si>
    <t>liczba ofert w II '23 r.</t>
  </si>
  <si>
    <t>liczba bezrobotnych ogółem stan na 31 III '23 r.</t>
  </si>
  <si>
    <t>liczba bezrobotnych ogółem stan na 31 III '22 r.</t>
  </si>
  <si>
    <t>liczba bezrobotnych kobiet stan na 31 III '22 r.</t>
  </si>
  <si>
    <t>liczba bezrobotnych kobiet stan na 31 III '23 r.</t>
  </si>
  <si>
    <t>Stopa bezrobocia stan na 31 III '23 r. (w proc.)*</t>
  </si>
  <si>
    <t>Stopa bezrobocia stan na 31 III '22 r. (w proc.)*</t>
  </si>
  <si>
    <t>Stopa bezrobocia stan na 28 II '23 r. w proc. *</t>
  </si>
  <si>
    <t>Stopa bezrobocia stan na 31 III '23 r. w proc.*</t>
  </si>
  <si>
    <t>Stopa bezrobocia stan na 31 III '22 r. w proc.*</t>
  </si>
  <si>
    <t>liczba bezrobotnych zam. na wsi stan na 31 III '23 r.</t>
  </si>
  <si>
    <t>liczba bezrobotnych zam. na wsi stan na 31 III '22 r.</t>
  </si>
  <si>
    <t>liczba bezrobotnych pow. 12 m-cy,  stan na 31 III '22 r.</t>
  </si>
  <si>
    <t>liczba bezrobotnych pow. 12 m-cy stan na 31 III '23 r.</t>
  </si>
  <si>
    <t>liczba bezrobotnych do 30 r. ż. stan na 31 III '22 r.</t>
  </si>
  <si>
    <t>liczba bezrobotnych do 30 r. ż. stan na 31 III '23 r.</t>
  </si>
  <si>
    <t>liczba bezrobotnych 50+ stan na 31 III '23 r.</t>
  </si>
  <si>
    <t>liczba bezrobotnych 50+ stan na 31 III '22 r.</t>
  </si>
  <si>
    <t>liczba ofert w III '23 r.</t>
  </si>
  <si>
    <t>liczba ofert w III '22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</si>
</sst>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fgColor rgb="FF41AAC3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>
      <alignment horizontal="right" vertical="center"/>
    </xf>
    <xf numFmtId="0" fontId="10" fillId="0" borderId="0" applyNumberFormat="0" applyFill="0" applyBorder="0" applyAlignment="0" applyProtection="0"/>
  </cellStyleXfs>
  <cellXfs count="8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2" applyFont="1" applyFill="1"/>
    <xf numFmtId="1" fontId="2" fillId="2" borderId="0" xfId="0" applyNumberFormat="1" applyFont="1" applyFill="1" applyAlignment="1">
      <alignment horizont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S7" xfId="1" xr:uid="{00000000-0005-0000-0000-000001000000}"/>
  </cellStyles>
  <dxfs count="0"/>
  <tableStyles count="0" defaultTableStyle="TableStyleMedium2" defaultPivotStyle="PivotStyleLight16"/>
  <colors>
    <mruColors>
      <color rgb="FFFDEADA"/>
      <color rgb="FFFFCC99"/>
      <color rgb="FF60497A"/>
      <color rgb="FFCCC0DA"/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599-4D79-AB39-F167CD5FD6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599-4D79-AB39-F167CD5FD6A6}"/>
              </c:ext>
            </c:extLst>
          </c:dPt>
          <c:dLbls>
            <c:dLbl>
              <c:idx val="13"/>
              <c:layout>
                <c:manualLayout>
                  <c:x val="9.6039205303000803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99-4D79-AB39-F167CD5FD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dębicki</c:v>
                </c:pt>
                <c:pt idx="11">
                  <c:v>łańcucki</c:v>
                </c:pt>
                <c:pt idx="12">
                  <c:v>mielecki</c:v>
                </c:pt>
                <c:pt idx="13">
                  <c:v>ropczycko-sędziszowski</c:v>
                </c:pt>
                <c:pt idx="14">
                  <c:v>sanocki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778</c:v>
                </c:pt>
                <c:pt idx="1">
                  <c:v>1125</c:v>
                </c:pt>
                <c:pt idx="2">
                  <c:v>1142</c:v>
                </c:pt>
                <c:pt idx="3">
                  <c:v>1325</c:v>
                </c:pt>
                <c:pt idx="4">
                  <c:v>1672</c:v>
                </c:pt>
                <c:pt idx="5">
                  <c:v>1804</c:v>
                </c:pt>
                <c:pt idx="6">
                  <c:v>1882</c:v>
                </c:pt>
                <c:pt idx="7">
                  <c:v>2007</c:v>
                </c:pt>
                <c:pt idx="8">
                  <c:v>2239</c:v>
                </c:pt>
                <c:pt idx="9">
                  <c:v>2516</c:v>
                </c:pt>
                <c:pt idx="10">
                  <c:v>2536</c:v>
                </c:pt>
                <c:pt idx="11">
                  <c:v>2671</c:v>
                </c:pt>
                <c:pt idx="12">
                  <c:v>2700</c:v>
                </c:pt>
                <c:pt idx="13">
                  <c:v>2763</c:v>
                </c:pt>
                <c:pt idx="14">
                  <c:v>2802</c:v>
                </c:pt>
                <c:pt idx="15">
                  <c:v>3053</c:v>
                </c:pt>
                <c:pt idx="16">
                  <c:v>3156</c:v>
                </c:pt>
                <c:pt idx="17">
                  <c:v>3199</c:v>
                </c:pt>
                <c:pt idx="18">
                  <c:v>3311</c:v>
                </c:pt>
                <c:pt idx="19">
                  <c:v>3593</c:v>
                </c:pt>
                <c:pt idx="20">
                  <c:v>3977</c:v>
                </c:pt>
                <c:pt idx="21">
                  <c:v>4626</c:v>
                </c:pt>
                <c:pt idx="22">
                  <c:v>4917</c:v>
                </c:pt>
                <c:pt idx="23">
                  <c:v>5052</c:v>
                </c:pt>
                <c:pt idx="24">
                  <c:v>5487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9-4D79-AB39-F167CD5FD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9111424"/>
        <c:axId val="139315072"/>
      </c:barChart>
      <c:catAx>
        <c:axId val="13911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315072"/>
        <c:crosses val="autoZero"/>
        <c:auto val="1"/>
        <c:lblAlgn val="ctr"/>
        <c:lblOffset val="100"/>
        <c:noMultiLvlLbl val="0"/>
      </c:catAx>
      <c:valAx>
        <c:axId val="139315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11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11688579463"/>
          <c:y val="2.1051090333212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43-47F9-BA64-A416F5B181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843-47F9-BA64-A416F5B18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'10_sort'!$C$4:$C$28</c:f>
              <c:strCache>
                <c:ptCount val="25"/>
                <c:pt idx="0">
                  <c:v>bieszczadzki</c:v>
                </c:pt>
                <c:pt idx="1">
                  <c:v>Krosno</c:v>
                </c:pt>
                <c:pt idx="2">
                  <c:v>krośnieński</c:v>
                </c:pt>
                <c:pt idx="3">
                  <c:v>stalowowolski</c:v>
                </c:pt>
                <c:pt idx="4">
                  <c:v>leski</c:v>
                </c:pt>
                <c:pt idx="5">
                  <c:v>Tarnobrzeg</c:v>
                </c:pt>
                <c:pt idx="6">
                  <c:v>kolbuszowski</c:v>
                </c:pt>
                <c:pt idx="7">
                  <c:v>przemyski</c:v>
                </c:pt>
                <c:pt idx="8">
                  <c:v>lubaczowski</c:v>
                </c:pt>
                <c:pt idx="9">
                  <c:v>dębicki</c:v>
                </c:pt>
                <c:pt idx="10">
                  <c:v>przeworski</c:v>
                </c:pt>
                <c:pt idx="11">
                  <c:v>tarnobrzeski </c:v>
                </c:pt>
                <c:pt idx="12">
                  <c:v>mielecki</c:v>
                </c:pt>
                <c:pt idx="13">
                  <c:v>sanocki</c:v>
                </c:pt>
                <c:pt idx="14">
                  <c:v>Przemyśl</c:v>
                </c:pt>
                <c:pt idx="15">
                  <c:v>rzeszowski</c:v>
                </c:pt>
                <c:pt idx="16">
                  <c:v>jarosławski</c:v>
                </c:pt>
                <c:pt idx="17">
                  <c:v>Rzeszów</c:v>
                </c:pt>
                <c:pt idx="18">
                  <c:v>ropczycko-sędziszowski</c:v>
                </c:pt>
                <c:pt idx="19">
                  <c:v>łańcucki</c:v>
                </c:pt>
                <c:pt idx="20">
                  <c:v>brzozowski</c:v>
                </c:pt>
                <c:pt idx="21">
                  <c:v>jasielski</c:v>
                </c:pt>
                <c:pt idx="22">
                  <c:v>leżajski</c:v>
                </c:pt>
                <c:pt idx="23">
                  <c:v>strzyżowski</c:v>
                </c:pt>
                <c:pt idx="24">
                  <c:v>niżański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21</c:v>
                </c:pt>
                <c:pt idx="1">
                  <c:v>22</c:v>
                </c:pt>
                <c:pt idx="2">
                  <c:v>32</c:v>
                </c:pt>
                <c:pt idx="3">
                  <c:v>33</c:v>
                </c:pt>
                <c:pt idx="4">
                  <c:v>38</c:v>
                </c:pt>
                <c:pt idx="5">
                  <c:v>44</c:v>
                </c:pt>
                <c:pt idx="6">
                  <c:v>45</c:v>
                </c:pt>
                <c:pt idx="7">
                  <c:v>51</c:v>
                </c:pt>
                <c:pt idx="8">
                  <c:v>52</c:v>
                </c:pt>
                <c:pt idx="9">
                  <c:v>54</c:v>
                </c:pt>
                <c:pt idx="10">
                  <c:v>59</c:v>
                </c:pt>
                <c:pt idx="11">
                  <c:v>60</c:v>
                </c:pt>
                <c:pt idx="12">
                  <c:v>67</c:v>
                </c:pt>
                <c:pt idx="13">
                  <c:v>69</c:v>
                </c:pt>
                <c:pt idx="14">
                  <c:v>69</c:v>
                </c:pt>
                <c:pt idx="15">
                  <c:v>71</c:v>
                </c:pt>
                <c:pt idx="16">
                  <c:v>78</c:v>
                </c:pt>
                <c:pt idx="17">
                  <c:v>95</c:v>
                </c:pt>
                <c:pt idx="18">
                  <c:v>107</c:v>
                </c:pt>
                <c:pt idx="19">
                  <c:v>110</c:v>
                </c:pt>
                <c:pt idx="20">
                  <c:v>117</c:v>
                </c:pt>
                <c:pt idx="21">
                  <c:v>118</c:v>
                </c:pt>
                <c:pt idx="22">
                  <c:v>126</c:v>
                </c:pt>
                <c:pt idx="23">
                  <c:v>157</c:v>
                </c:pt>
                <c:pt idx="24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3-47F9-BA64-A416F5B1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ogółem według stanu</a:t>
            </a:r>
            <a:r>
              <a:rPr lang="pl-PL" sz="800" b="0" baseline="0">
                <a:latin typeface="Arial" panose="020B0604020202020204" pitchFamily="34" charset="0"/>
                <a:cs typeface="Arial" panose="020B0604020202020204" pitchFamily="34" charset="0"/>
              </a:rPr>
              <a:t> na koniec miesiąca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(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olne miejsca pracy</a:t>
            </a:r>
            <a:endParaRPr lang="pl-PL" sz="800" b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i miejsca aktywizacji zawodowej) wg powiatów</a:t>
            </a:r>
          </a:p>
        </c:rich>
      </c:tx>
      <c:layout>
        <c:manualLayout>
          <c:xMode val="edge"/>
          <c:yMode val="edge"/>
          <c:x val="0.2104416159680096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'11_sort'!$B$1</c:f>
              <c:strCache>
                <c:ptCount val="1"/>
                <c:pt idx="0">
                  <c:v>Oferty pracy ogółem według stanu na koniec miesiąca (wolne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379-4153-AE4E-564F7750153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379-4153-AE4E-564F77501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'11_sort'!$C$4:$C$28</c:f>
              <c:strCache>
                <c:ptCount val="25"/>
                <c:pt idx="0">
                  <c:v>brzozowski</c:v>
                </c:pt>
                <c:pt idx="1">
                  <c:v>przemyski</c:v>
                </c:pt>
                <c:pt idx="2">
                  <c:v>leski</c:v>
                </c:pt>
                <c:pt idx="3">
                  <c:v>bieszczadzki</c:v>
                </c:pt>
                <c:pt idx="4">
                  <c:v>Krosno</c:v>
                </c:pt>
                <c:pt idx="5">
                  <c:v>Przemyśl</c:v>
                </c:pt>
                <c:pt idx="6">
                  <c:v>stalowowolski</c:v>
                </c:pt>
                <c:pt idx="7">
                  <c:v>tarnobrzeski </c:v>
                </c:pt>
                <c:pt idx="8">
                  <c:v>kolbuszowski</c:v>
                </c:pt>
                <c:pt idx="9">
                  <c:v>lubaczowski</c:v>
                </c:pt>
                <c:pt idx="10">
                  <c:v>krośnieński</c:v>
                </c:pt>
                <c:pt idx="11">
                  <c:v>ropczycko-sędziszowski</c:v>
                </c:pt>
                <c:pt idx="12">
                  <c:v>Tarnobrzeg</c:v>
                </c:pt>
                <c:pt idx="13">
                  <c:v>rzeszowski</c:v>
                </c:pt>
                <c:pt idx="14">
                  <c:v>łańcucki</c:v>
                </c:pt>
                <c:pt idx="15">
                  <c:v>leżajski</c:v>
                </c:pt>
                <c:pt idx="16">
                  <c:v>niżański</c:v>
                </c:pt>
                <c:pt idx="17">
                  <c:v>jasielski</c:v>
                </c:pt>
                <c:pt idx="18">
                  <c:v>jarosławski</c:v>
                </c:pt>
                <c:pt idx="19">
                  <c:v>strzyżowski</c:v>
                </c:pt>
                <c:pt idx="20">
                  <c:v>przeworski</c:v>
                </c:pt>
                <c:pt idx="21">
                  <c:v>sanocki</c:v>
                </c:pt>
                <c:pt idx="22">
                  <c:v>dębicki</c:v>
                </c:pt>
                <c:pt idx="23">
                  <c:v>mielecki</c:v>
                </c:pt>
                <c:pt idx="24">
                  <c:v>Rzeszów</c:v>
                </c:pt>
              </c:strCache>
            </c:strRef>
          </c:cat>
          <c:val>
            <c:numRef>
              <c:f>'11_sort'!$D$4:$D$28</c:f>
              <c:numCache>
                <c:formatCode>#,##0</c:formatCode>
                <c:ptCount val="25"/>
                <c:pt idx="0" formatCode="General">
                  <c:v>6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32</c:v>
                </c:pt>
                <c:pt idx="7">
                  <c:v>56</c:v>
                </c:pt>
                <c:pt idx="8">
                  <c:v>64</c:v>
                </c:pt>
                <c:pt idx="9">
                  <c:v>64</c:v>
                </c:pt>
                <c:pt idx="10">
                  <c:v>70</c:v>
                </c:pt>
                <c:pt idx="11">
                  <c:v>75</c:v>
                </c:pt>
                <c:pt idx="12">
                  <c:v>81</c:v>
                </c:pt>
                <c:pt idx="13">
                  <c:v>87</c:v>
                </c:pt>
                <c:pt idx="14">
                  <c:v>94</c:v>
                </c:pt>
                <c:pt idx="15">
                  <c:v>95</c:v>
                </c:pt>
                <c:pt idx="16">
                  <c:v>113</c:v>
                </c:pt>
                <c:pt idx="17">
                  <c:v>128</c:v>
                </c:pt>
                <c:pt idx="18">
                  <c:v>131</c:v>
                </c:pt>
                <c:pt idx="19">
                  <c:v>136</c:v>
                </c:pt>
                <c:pt idx="20">
                  <c:v>150</c:v>
                </c:pt>
                <c:pt idx="21">
                  <c:v>150</c:v>
                </c:pt>
                <c:pt idx="22">
                  <c:v>169</c:v>
                </c:pt>
                <c:pt idx="23">
                  <c:v>186</c:v>
                </c:pt>
                <c:pt idx="24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9-4153-AE4E-564F7750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3C-4037-B1E0-F7AD38217C7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3C-4037-B1E0-F7AD38217C7E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3C-4037-B1E0-F7AD38217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łańcucki</c:v>
                </c:pt>
                <c:pt idx="11">
                  <c:v>mielecki</c:v>
                </c:pt>
                <c:pt idx="12">
                  <c:v>sanocki</c:v>
                </c:pt>
                <c:pt idx="13">
                  <c:v>ropczycko-sędziszowski</c:v>
                </c:pt>
                <c:pt idx="14">
                  <c:v>dębicki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strzyżowski</c:v>
                </c:pt>
                <c:pt idx="18">
                  <c:v>leżajski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rzeszowski</c:v>
                </c:pt>
                <c:pt idx="22">
                  <c:v>jarosławski</c:v>
                </c:pt>
                <c:pt idx="23">
                  <c:v>Rzeszów</c:v>
                </c:pt>
                <c:pt idx="24">
                  <c:v>jasielski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412</c:v>
                </c:pt>
                <c:pt idx="1">
                  <c:v>578</c:v>
                </c:pt>
                <c:pt idx="2">
                  <c:v>579</c:v>
                </c:pt>
                <c:pt idx="3">
                  <c:v>699</c:v>
                </c:pt>
                <c:pt idx="4">
                  <c:v>842</c:v>
                </c:pt>
                <c:pt idx="5">
                  <c:v>857</c:v>
                </c:pt>
                <c:pt idx="6">
                  <c:v>871</c:v>
                </c:pt>
                <c:pt idx="7">
                  <c:v>1091</c:v>
                </c:pt>
                <c:pt idx="8">
                  <c:v>1204</c:v>
                </c:pt>
                <c:pt idx="9">
                  <c:v>1208</c:v>
                </c:pt>
                <c:pt idx="10">
                  <c:v>1287</c:v>
                </c:pt>
                <c:pt idx="11">
                  <c:v>1373</c:v>
                </c:pt>
                <c:pt idx="12">
                  <c:v>1411</c:v>
                </c:pt>
                <c:pt idx="13">
                  <c:v>1480</c:v>
                </c:pt>
                <c:pt idx="14">
                  <c:v>1521</c:v>
                </c:pt>
                <c:pt idx="15">
                  <c:v>1581</c:v>
                </c:pt>
                <c:pt idx="16">
                  <c:v>1637</c:v>
                </c:pt>
                <c:pt idx="17">
                  <c:v>1690</c:v>
                </c:pt>
                <c:pt idx="18">
                  <c:v>1710</c:v>
                </c:pt>
                <c:pt idx="19">
                  <c:v>1969</c:v>
                </c:pt>
                <c:pt idx="20">
                  <c:v>2032</c:v>
                </c:pt>
                <c:pt idx="21">
                  <c:v>2427</c:v>
                </c:pt>
                <c:pt idx="22">
                  <c:v>2450</c:v>
                </c:pt>
                <c:pt idx="23">
                  <c:v>2811</c:v>
                </c:pt>
                <c:pt idx="24">
                  <c:v>2851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C-4037-B1E0-F7AD3821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8241792"/>
        <c:axId val="208243712"/>
      </c:barChart>
      <c:catAx>
        <c:axId val="208241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3712"/>
        <c:crosses val="autoZero"/>
        <c:auto val="1"/>
        <c:lblAlgn val="ctr"/>
        <c:lblOffset val="100"/>
        <c:noMultiLvlLbl val="0"/>
      </c:catAx>
      <c:valAx>
        <c:axId val="208243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rgbClr val="FDEADA"/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51-4BBA-97F7-B4F2CAA94FA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151-4BBA-97F7-B4F2CAA94FA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51-4BBA-97F7-B4F2CAA94F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51-4BBA-97F7-B4F2CAA94F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51-4BBA-97F7-B4F2CAA94FA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MAZOWIECKIE</c:v>
                </c:pt>
                <c:pt idx="3">
                  <c:v>LUBUSKIE</c:v>
                </c:pt>
                <c:pt idx="4">
                  <c:v>DOLNOŚLĄSKIE</c:v>
                </c:pt>
                <c:pt idx="5">
                  <c:v>MAŁOPOLSKIE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ZACHODNIOPOMORSKIE</c:v>
                </c:pt>
                <c:pt idx="11">
                  <c:v>PODLASKIE</c:v>
                </c:pt>
                <c:pt idx="12">
                  <c:v>KUJAWSKO-POMORSKIE</c:v>
                </c:pt>
                <c:pt idx="13">
                  <c:v>ŚWIĘTOKRZYSKIE</c:v>
                </c:pt>
                <c:pt idx="14">
                  <c:v>LUBELSKIE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3.1</c:v>
                </c:pt>
                <c:pt idx="1">
                  <c:v>3.9</c:v>
                </c:pt>
                <c:pt idx="2">
                  <c:v>4.3</c:v>
                </c:pt>
                <c:pt idx="3">
                  <c:v>4.5999999999999996</c:v>
                </c:pt>
                <c:pt idx="4">
                  <c:v>4.7</c:v>
                </c:pt>
                <c:pt idx="5">
                  <c:v>4.8</c:v>
                </c:pt>
                <c:pt idx="6">
                  <c:v>4.9000000000000004</c:v>
                </c:pt>
                <c:pt idx="7">
                  <c:v>5.4</c:v>
                </c:pt>
                <c:pt idx="8">
                  <c:v>5.7</c:v>
                </c:pt>
                <c:pt idx="9">
                  <c:v>6.4</c:v>
                </c:pt>
                <c:pt idx="10">
                  <c:v>7</c:v>
                </c:pt>
                <c:pt idx="11">
                  <c:v>7.5</c:v>
                </c:pt>
                <c:pt idx="12">
                  <c:v>7.6</c:v>
                </c:pt>
                <c:pt idx="13">
                  <c:v>8</c:v>
                </c:pt>
                <c:pt idx="14">
                  <c:v>8.1999999999999993</c:v>
                </c:pt>
                <c:pt idx="15">
                  <c:v>9</c:v>
                </c:pt>
                <c:pt idx="16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51-4BBA-97F7-B4F2CAA9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823488"/>
        <c:axId val="43825024"/>
      </c:barChart>
      <c:catAx>
        <c:axId val="4382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3825024"/>
        <c:crosses val="autoZero"/>
        <c:auto val="1"/>
        <c:lblAlgn val="ctr"/>
        <c:lblOffset val="100"/>
        <c:noMultiLvlLbl val="0"/>
      </c:catAx>
      <c:valAx>
        <c:axId val="438250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438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8801292390590288"/>
          <c:y val="3.1937859191030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rgbClr val="FDEADA"/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E62-495A-B5ED-EB078D5C989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E62-495A-B5ED-EB078D5C989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62-495A-B5ED-EB078D5C989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62-495A-B5ED-EB078D5C989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62-495A-B5ED-EB078D5C989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62-495A-B5ED-EB078D5C989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m.Rzeszów</c:v>
                </c:pt>
                <c:pt idx="2">
                  <c:v>Powiat mielecki</c:v>
                </c:pt>
                <c:pt idx="3">
                  <c:v>Powiat dębicki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m.Tarnobrzeg</c:v>
                </c:pt>
                <c:pt idx="7">
                  <c:v>Powiat tarnobrzeski</c:v>
                </c:pt>
                <c:pt idx="8">
                  <c:v>Powiat sanocki</c:v>
                </c:pt>
                <c:pt idx="9">
                  <c:v>Powiat krośnieński</c:v>
                </c:pt>
                <c:pt idx="10">
                  <c:v>Powiat rzeszowski</c:v>
                </c:pt>
                <c:pt idx="11">
                  <c:v>Powiat kolbuszowski</c:v>
                </c:pt>
                <c:pt idx="12">
                  <c:v>PODKARPACKIE</c:v>
                </c:pt>
                <c:pt idx="13">
                  <c:v>Powiat m.Przemyśl</c:v>
                </c:pt>
                <c:pt idx="14">
                  <c:v>Powiat łańcucki</c:v>
                </c:pt>
                <c:pt idx="15">
                  <c:v>Powiat lubaczowski</c:v>
                </c:pt>
                <c:pt idx="16">
                  <c:v>Powiat ropczycko-sędziszowski</c:v>
                </c:pt>
                <c:pt idx="17">
                  <c:v>Powiat jarosławski</c:v>
                </c:pt>
                <c:pt idx="18">
                  <c:v>Powiat jasielski</c:v>
                </c:pt>
                <c:pt idx="19">
                  <c:v>Powiat przeworski</c:v>
                </c:pt>
                <c:pt idx="20">
                  <c:v>Powiat leżajski</c:v>
                </c:pt>
                <c:pt idx="21">
                  <c:v>Powiat bieszczadzki</c:v>
                </c:pt>
                <c:pt idx="22">
                  <c:v>Powiat przemyski</c:v>
                </c:pt>
                <c:pt idx="23">
                  <c:v>Powiat niżański</c:v>
                </c:pt>
                <c:pt idx="24">
                  <c:v>Powiat strzyżowski</c:v>
                </c:pt>
                <c:pt idx="25">
                  <c:v>Powiat leski</c:v>
                </c:pt>
                <c:pt idx="26">
                  <c:v>Powiat brzozowski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2.7</c:v>
                </c:pt>
                <c:pt idx="1">
                  <c:v>4.3</c:v>
                </c:pt>
                <c:pt idx="2">
                  <c:v>4.7</c:v>
                </c:pt>
                <c:pt idx="3">
                  <c:v>4.9000000000000004</c:v>
                </c:pt>
                <c:pt idx="4">
                  <c:v>5.0999999999999996</c:v>
                </c:pt>
                <c:pt idx="5">
                  <c:v>5.4</c:v>
                </c:pt>
                <c:pt idx="6">
                  <c:v>7.1</c:v>
                </c:pt>
                <c:pt idx="7">
                  <c:v>7.5</c:v>
                </c:pt>
                <c:pt idx="8">
                  <c:v>8.1999999999999993</c:v>
                </c:pt>
                <c:pt idx="9">
                  <c:v>8.5</c:v>
                </c:pt>
                <c:pt idx="10">
                  <c:v>8.5</c:v>
                </c:pt>
                <c:pt idx="11">
                  <c:v>8.9</c:v>
                </c:pt>
                <c:pt idx="12">
                  <c:v>9</c:v>
                </c:pt>
                <c:pt idx="13">
                  <c:v>9.5</c:v>
                </c:pt>
                <c:pt idx="14">
                  <c:v>10.1</c:v>
                </c:pt>
                <c:pt idx="15">
                  <c:v>11.4</c:v>
                </c:pt>
                <c:pt idx="16">
                  <c:v>11.4</c:v>
                </c:pt>
                <c:pt idx="17">
                  <c:v>11.5</c:v>
                </c:pt>
                <c:pt idx="18">
                  <c:v>13.1</c:v>
                </c:pt>
                <c:pt idx="19">
                  <c:v>14.8</c:v>
                </c:pt>
                <c:pt idx="20">
                  <c:v>15.4</c:v>
                </c:pt>
                <c:pt idx="21">
                  <c:v>16.7</c:v>
                </c:pt>
                <c:pt idx="22">
                  <c:v>17.399999999999999</c:v>
                </c:pt>
                <c:pt idx="23">
                  <c:v>17.7</c:v>
                </c:pt>
                <c:pt idx="24">
                  <c:v>18.2</c:v>
                </c:pt>
                <c:pt idx="25">
                  <c:v>19.899999999999999</c:v>
                </c:pt>
                <c:pt idx="26">
                  <c:v>20.9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2-495A-B5ED-EB078D5C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009920"/>
        <c:axId val="45011712"/>
      </c:barChart>
      <c:catAx>
        <c:axId val="4500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11712"/>
        <c:crosses val="autoZero"/>
        <c:auto val="1"/>
        <c:lblAlgn val="ctr"/>
        <c:lblOffset val="100"/>
        <c:noMultiLvlLbl val="0"/>
      </c:catAx>
      <c:valAx>
        <c:axId val="45011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30270230792241981"/>
          <c:y val="2.90151982978374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EF6-4CD7-AD3E-E88E51C3A65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EF6-4CD7-AD3E-E88E51C3A65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F6-4CD7-AD3E-E88E51C3A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kolbuszowski</c:v>
                </c:pt>
                <c:pt idx="6">
                  <c:v>leski</c:v>
                </c:pt>
                <c:pt idx="7">
                  <c:v>dębicki</c:v>
                </c:pt>
                <c:pt idx="8">
                  <c:v>sanocki</c:v>
                </c:pt>
                <c:pt idx="9">
                  <c:v>ropczycko-sędziszowski</c:v>
                </c:pt>
                <c:pt idx="10">
                  <c:v>krośnieński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jarosławski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730</c:v>
                </c:pt>
                <c:pt idx="1">
                  <c:v>821</c:v>
                </c:pt>
                <c:pt idx="2">
                  <c:v>1065</c:v>
                </c:pt>
                <c:pt idx="3">
                  <c:v>1234</c:v>
                </c:pt>
                <c:pt idx="4">
                  <c:v>1366</c:v>
                </c:pt>
                <c:pt idx="5">
                  <c:v>1466</c:v>
                </c:pt>
                <c:pt idx="6">
                  <c:v>1487</c:v>
                </c:pt>
                <c:pt idx="7">
                  <c:v>1535</c:v>
                </c:pt>
                <c:pt idx="8">
                  <c:v>1601</c:v>
                </c:pt>
                <c:pt idx="9">
                  <c:v>1769</c:v>
                </c:pt>
                <c:pt idx="10">
                  <c:v>2027</c:v>
                </c:pt>
                <c:pt idx="11">
                  <c:v>2060</c:v>
                </c:pt>
                <c:pt idx="12">
                  <c:v>2090</c:v>
                </c:pt>
                <c:pt idx="13">
                  <c:v>2452</c:v>
                </c:pt>
                <c:pt idx="14">
                  <c:v>2758</c:v>
                </c:pt>
                <c:pt idx="15">
                  <c:v>2851</c:v>
                </c:pt>
                <c:pt idx="16">
                  <c:v>2966</c:v>
                </c:pt>
                <c:pt idx="17">
                  <c:v>3030</c:v>
                </c:pt>
                <c:pt idx="18">
                  <c:v>3607</c:v>
                </c:pt>
                <c:pt idx="19">
                  <c:v>3652</c:v>
                </c:pt>
                <c:pt idx="20">
                  <c:v>3878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6-4CD7-AD3E-E88E51C3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04992"/>
        <c:axId val="45206528"/>
      </c:barChart>
      <c:catAx>
        <c:axId val="4520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6528"/>
        <c:crosses val="autoZero"/>
        <c:auto val="1"/>
        <c:lblAlgn val="ctr"/>
        <c:lblOffset val="100"/>
        <c:noMultiLvlLbl val="0"/>
      </c:catAx>
      <c:valAx>
        <c:axId val="4520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8225946856062"/>
          <c:y val="2.8041115912929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6E-4E84-AD9E-6E14E79C369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E6E-4E84-AD9E-6E14E79C3697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E-4E84-AD9E-6E14E79C3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stalowowolski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dębicki</c:v>
                </c:pt>
                <c:pt idx="9">
                  <c:v>leski</c:v>
                </c:pt>
                <c:pt idx="10">
                  <c:v>mielecki</c:v>
                </c:pt>
                <c:pt idx="11">
                  <c:v>sanocki</c:v>
                </c:pt>
                <c:pt idx="12">
                  <c:v>łańcucki</c:v>
                </c:pt>
                <c:pt idx="13">
                  <c:v>ropczycko-sędziszowski</c:v>
                </c:pt>
                <c:pt idx="14">
                  <c:v>Przemyśl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309</c:v>
                </c:pt>
                <c:pt idx="1">
                  <c:v>593</c:v>
                </c:pt>
                <c:pt idx="2">
                  <c:v>662</c:v>
                </c:pt>
                <c:pt idx="3">
                  <c:v>694</c:v>
                </c:pt>
                <c:pt idx="4">
                  <c:v>814</c:v>
                </c:pt>
                <c:pt idx="5">
                  <c:v>828</c:v>
                </c:pt>
                <c:pt idx="6">
                  <c:v>970</c:v>
                </c:pt>
                <c:pt idx="7">
                  <c:v>991</c:v>
                </c:pt>
                <c:pt idx="8">
                  <c:v>1045</c:v>
                </c:pt>
                <c:pt idx="9">
                  <c:v>1111</c:v>
                </c:pt>
                <c:pt idx="10">
                  <c:v>1232</c:v>
                </c:pt>
                <c:pt idx="11">
                  <c:v>1362</c:v>
                </c:pt>
                <c:pt idx="12">
                  <c:v>1380</c:v>
                </c:pt>
                <c:pt idx="13">
                  <c:v>1512</c:v>
                </c:pt>
                <c:pt idx="14">
                  <c:v>1618</c:v>
                </c:pt>
                <c:pt idx="15">
                  <c:v>1797</c:v>
                </c:pt>
                <c:pt idx="16">
                  <c:v>1877</c:v>
                </c:pt>
                <c:pt idx="17">
                  <c:v>1918</c:v>
                </c:pt>
                <c:pt idx="18">
                  <c:v>2042</c:v>
                </c:pt>
                <c:pt idx="19">
                  <c:v>2209</c:v>
                </c:pt>
                <c:pt idx="20">
                  <c:v>2584</c:v>
                </c:pt>
                <c:pt idx="21">
                  <c:v>2734</c:v>
                </c:pt>
                <c:pt idx="22">
                  <c:v>2909</c:v>
                </c:pt>
                <c:pt idx="23">
                  <c:v>3064</c:v>
                </c:pt>
                <c:pt idx="24">
                  <c:v>3346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6E-4E84-AD9E-6E14E79C3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80640"/>
        <c:axId val="134677632"/>
      </c:barChart>
      <c:catAx>
        <c:axId val="452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677632"/>
        <c:crosses val="autoZero"/>
        <c:auto val="1"/>
        <c:lblAlgn val="ctr"/>
        <c:lblOffset val="100"/>
        <c:noMultiLvlLbl val="0"/>
      </c:catAx>
      <c:valAx>
        <c:axId val="1346776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21171269709515514"/>
          <c:y val="2.3890521264373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F08-4446-B601-462C57B2D81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F08-4446-B601-462C57B2D81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8-4446-B601-462C57B2D8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Przemyśl</c:v>
                </c:pt>
                <c:pt idx="5">
                  <c:v>leski</c:v>
                </c:pt>
                <c:pt idx="6">
                  <c:v>kolbuszowski</c:v>
                </c:pt>
                <c:pt idx="7">
                  <c:v>stalowowolski</c:v>
                </c:pt>
                <c:pt idx="8">
                  <c:v>lubaczowski</c:v>
                </c:pt>
                <c:pt idx="9">
                  <c:v>krośnieński</c:v>
                </c:pt>
                <c:pt idx="10">
                  <c:v>mielecki</c:v>
                </c:pt>
                <c:pt idx="11">
                  <c:v>dębicki</c:v>
                </c:pt>
                <c:pt idx="12">
                  <c:v>sanocki</c:v>
                </c:pt>
                <c:pt idx="13">
                  <c:v>łańcucki</c:v>
                </c:pt>
                <c:pt idx="14">
                  <c:v>ropczycko-sędziszowski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jasielski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150</c:v>
                </c:pt>
                <c:pt idx="1">
                  <c:v>212</c:v>
                </c:pt>
                <c:pt idx="2">
                  <c:v>307</c:v>
                </c:pt>
                <c:pt idx="3">
                  <c:v>341</c:v>
                </c:pt>
                <c:pt idx="4">
                  <c:v>441</c:v>
                </c:pt>
                <c:pt idx="5">
                  <c:v>475</c:v>
                </c:pt>
                <c:pt idx="6">
                  <c:v>486</c:v>
                </c:pt>
                <c:pt idx="7">
                  <c:v>529</c:v>
                </c:pt>
                <c:pt idx="8">
                  <c:v>549</c:v>
                </c:pt>
                <c:pt idx="9">
                  <c:v>567</c:v>
                </c:pt>
                <c:pt idx="10">
                  <c:v>696</c:v>
                </c:pt>
                <c:pt idx="11">
                  <c:v>713</c:v>
                </c:pt>
                <c:pt idx="12">
                  <c:v>734</c:v>
                </c:pt>
                <c:pt idx="13">
                  <c:v>770</c:v>
                </c:pt>
                <c:pt idx="14">
                  <c:v>771</c:v>
                </c:pt>
                <c:pt idx="15">
                  <c:v>822</c:v>
                </c:pt>
                <c:pt idx="16">
                  <c:v>844</c:v>
                </c:pt>
                <c:pt idx="17">
                  <c:v>900</c:v>
                </c:pt>
                <c:pt idx="18">
                  <c:v>919</c:v>
                </c:pt>
                <c:pt idx="19">
                  <c:v>982</c:v>
                </c:pt>
                <c:pt idx="20">
                  <c:v>1007</c:v>
                </c:pt>
                <c:pt idx="21">
                  <c:v>1008</c:v>
                </c:pt>
                <c:pt idx="22">
                  <c:v>1208</c:v>
                </c:pt>
                <c:pt idx="23">
                  <c:v>1270</c:v>
                </c:pt>
                <c:pt idx="24">
                  <c:v>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8-4446-B601-462C57B2D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4739840"/>
        <c:axId val="134741376"/>
      </c:barChart>
      <c:catAx>
        <c:axId val="13473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41376"/>
        <c:crosses val="autoZero"/>
        <c:auto val="1"/>
        <c:lblAlgn val="ctr"/>
        <c:lblOffset val="100"/>
        <c:noMultiLvlLbl val="0"/>
      </c:catAx>
      <c:valAx>
        <c:axId val="13474137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622374139943246"/>
          <c:y val="1.085531640246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13-48FD-9FD4-90757E06598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F13-48FD-9FD4-90757E0659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łańcucki</c:v>
                </c:pt>
                <c:pt idx="11">
                  <c:v>ropczycko-sędziszowski</c:v>
                </c:pt>
                <c:pt idx="12">
                  <c:v>sanocki</c:v>
                </c:pt>
                <c:pt idx="13">
                  <c:v>mielecki</c:v>
                </c:pt>
                <c:pt idx="14">
                  <c:v>przeworski</c:v>
                </c:pt>
                <c:pt idx="15">
                  <c:v>Przemyśl</c:v>
                </c:pt>
                <c:pt idx="16">
                  <c:v>przemyski</c:v>
                </c:pt>
                <c:pt idx="17">
                  <c:v>leżajski</c:v>
                </c:pt>
                <c:pt idx="18">
                  <c:v>niżański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180</c:v>
                </c:pt>
                <c:pt idx="1">
                  <c:v>271</c:v>
                </c:pt>
                <c:pt idx="2">
                  <c:v>335</c:v>
                </c:pt>
                <c:pt idx="3">
                  <c:v>376</c:v>
                </c:pt>
                <c:pt idx="4">
                  <c:v>441</c:v>
                </c:pt>
                <c:pt idx="5">
                  <c:v>450</c:v>
                </c:pt>
                <c:pt idx="6">
                  <c:v>500</c:v>
                </c:pt>
                <c:pt idx="7">
                  <c:v>542</c:v>
                </c:pt>
                <c:pt idx="8">
                  <c:v>578</c:v>
                </c:pt>
                <c:pt idx="9">
                  <c:v>606</c:v>
                </c:pt>
                <c:pt idx="10">
                  <c:v>618</c:v>
                </c:pt>
                <c:pt idx="11">
                  <c:v>626</c:v>
                </c:pt>
                <c:pt idx="12">
                  <c:v>666</c:v>
                </c:pt>
                <c:pt idx="13">
                  <c:v>706</c:v>
                </c:pt>
                <c:pt idx="14">
                  <c:v>745</c:v>
                </c:pt>
                <c:pt idx="15">
                  <c:v>753</c:v>
                </c:pt>
                <c:pt idx="16">
                  <c:v>761</c:v>
                </c:pt>
                <c:pt idx="17">
                  <c:v>763</c:v>
                </c:pt>
                <c:pt idx="18">
                  <c:v>766</c:v>
                </c:pt>
                <c:pt idx="19">
                  <c:v>775</c:v>
                </c:pt>
                <c:pt idx="20">
                  <c:v>1006</c:v>
                </c:pt>
                <c:pt idx="21">
                  <c:v>1132</c:v>
                </c:pt>
                <c:pt idx="22">
                  <c:v>1177</c:v>
                </c:pt>
                <c:pt idx="23">
                  <c:v>1223</c:v>
                </c:pt>
                <c:pt idx="24">
                  <c:v>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3-48FD-9FD4-90757E06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7716480"/>
        <c:axId val="137718016"/>
      </c:barChart>
      <c:catAx>
        <c:axId val="137716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8016"/>
        <c:crosses val="autoZero"/>
        <c:auto val="1"/>
        <c:lblAlgn val="ctr"/>
        <c:lblOffset val="100"/>
        <c:noMultiLvlLbl val="0"/>
      </c:catAx>
      <c:valAx>
        <c:axId val="13771801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1857800421632848"/>
          <c:y val="3.1743695349395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C5-4D00-A09D-0401A1EB00D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4C5-4D00-A09D-0401A1EB00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'9_sort'!$C$4:$C$28</c:f>
              <c:strCache>
                <c:ptCount val="25"/>
                <c:pt idx="0">
                  <c:v>bieszczadzki</c:v>
                </c:pt>
                <c:pt idx="1">
                  <c:v>Krosno</c:v>
                </c:pt>
                <c:pt idx="2">
                  <c:v>leski</c:v>
                </c:pt>
                <c:pt idx="3">
                  <c:v>przemyski</c:v>
                </c:pt>
                <c:pt idx="4">
                  <c:v>krośnieński</c:v>
                </c:pt>
                <c:pt idx="5">
                  <c:v>lubaczowski</c:v>
                </c:pt>
                <c:pt idx="6">
                  <c:v>stalowowolski</c:v>
                </c:pt>
                <c:pt idx="7">
                  <c:v>kolbuszowski</c:v>
                </c:pt>
                <c:pt idx="8">
                  <c:v>Przemyśl</c:v>
                </c:pt>
                <c:pt idx="9">
                  <c:v>Tarnobrzeg</c:v>
                </c:pt>
                <c:pt idx="10">
                  <c:v>brzozowski</c:v>
                </c:pt>
                <c:pt idx="11">
                  <c:v>tarnobrzeski </c:v>
                </c:pt>
                <c:pt idx="12">
                  <c:v>łańcucki</c:v>
                </c:pt>
                <c:pt idx="13">
                  <c:v>ropczycko-sędziszowski</c:v>
                </c:pt>
                <c:pt idx="14">
                  <c:v>rzeszowski</c:v>
                </c:pt>
                <c:pt idx="15">
                  <c:v>przeworski</c:v>
                </c:pt>
                <c:pt idx="16">
                  <c:v>sanocki</c:v>
                </c:pt>
                <c:pt idx="17">
                  <c:v>jarosławski</c:v>
                </c:pt>
                <c:pt idx="18">
                  <c:v>jasielski</c:v>
                </c:pt>
                <c:pt idx="19">
                  <c:v>leżajski</c:v>
                </c:pt>
                <c:pt idx="20">
                  <c:v>niżański</c:v>
                </c:pt>
                <c:pt idx="21">
                  <c:v>strzyżowski</c:v>
                </c:pt>
                <c:pt idx="22">
                  <c:v>mielecki</c:v>
                </c:pt>
                <c:pt idx="23">
                  <c:v>dębicki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34</c:v>
                </c:pt>
                <c:pt idx="1">
                  <c:v>46</c:v>
                </c:pt>
                <c:pt idx="2">
                  <c:v>56</c:v>
                </c:pt>
                <c:pt idx="3">
                  <c:v>59</c:v>
                </c:pt>
                <c:pt idx="4">
                  <c:v>71</c:v>
                </c:pt>
                <c:pt idx="5">
                  <c:v>88</c:v>
                </c:pt>
                <c:pt idx="6">
                  <c:v>93</c:v>
                </c:pt>
                <c:pt idx="7">
                  <c:v>94</c:v>
                </c:pt>
                <c:pt idx="8">
                  <c:v>95</c:v>
                </c:pt>
                <c:pt idx="9">
                  <c:v>116</c:v>
                </c:pt>
                <c:pt idx="10">
                  <c:v>124</c:v>
                </c:pt>
                <c:pt idx="11">
                  <c:v>158</c:v>
                </c:pt>
                <c:pt idx="12">
                  <c:v>159</c:v>
                </c:pt>
                <c:pt idx="13">
                  <c:v>163</c:v>
                </c:pt>
                <c:pt idx="14">
                  <c:v>164</c:v>
                </c:pt>
                <c:pt idx="15">
                  <c:v>167</c:v>
                </c:pt>
                <c:pt idx="16">
                  <c:v>198</c:v>
                </c:pt>
                <c:pt idx="17">
                  <c:v>202</c:v>
                </c:pt>
                <c:pt idx="18">
                  <c:v>209</c:v>
                </c:pt>
                <c:pt idx="19">
                  <c:v>212</c:v>
                </c:pt>
                <c:pt idx="20">
                  <c:v>223</c:v>
                </c:pt>
                <c:pt idx="21">
                  <c:v>232</c:v>
                </c:pt>
                <c:pt idx="22">
                  <c:v>263</c:v>
                </c:pt>
                <c:pt idx="23">
                  <c:v>282</c:v>
                </c:pt>
                <c:pt idx="24">
                  <c:v>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5-4D00-A09D-0401A1E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157440"/>
        <c:axId val="138183808"/>
      </c:barChart>
      <c:catAx>
        <c:axId val="1381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83808"/>
        <c:crosses val="autoZero"/>
        <c:auto val="1"/>
        <c:lblAlgn val="ctr"/>
        <c:lblOffset val="100"/>
        <c:noMultiLvlLbl val="0"/>
      </c:catAx>
      <c:valAx>
        <c:axId val="13818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516A7468-C1FD-4298-8E7C-C0BD29F96BC7}"/>
            </a:ext>
          </a:extLst>
        </xdr:cNvPr>
        <xdr:cNvSpPr/>
      </xdr:nvSpPr>
      <xdr:spPr>
        <a:xfrm>
          <a:off x="2714624" y="314325"/>
          <a:ext cx="228601" cy="11430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1131623</xdr:colOff>
      <xdr:row>2</xdr:row>
      <xdr:rowOff>37835</xdr:rowOff>
    </xdr:from>
    <xdr:to>
      <xdr:col>19</xdr:col>
      <xdr:colOff>242624</xdr:colOff>
      <xdr:row>19</xdr:row>
      <xdr:rowOff>73819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EF57E43-C5FB-4B72-BA24-C746B8A7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342633</xdr:colOff>
      <xdr:row>2</xdr:row>
      <xdr:rowOff>1059</xdr:rowOff>
    </xdr:from>
    <xdr:to>
      <xdr:col>18</xdr:col>
      <xdr:colOff>474927</xdr:colOff>
      <xdr:row>18</xdr:row>
      <xdr:rowOff>166688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296862</xdr:colOff>
      <xdr:row>1</xdr:row>
      <xdr:rowOff>134142</xdr:rowOff>
    </xdr:from>
    <xdr:to>
      <xdr:col>19</xdr:col>
      <xdr:colOff>202406</xdr:colOff>
      <xdr:row>18</xdr:row>
      <xdr:rowOff>166686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1016000</xdr:colOff>
      <xdr:row>1</xdr:row>
      <xdr:rowOff>184149</xdr:rowOff>
    </xdr:from>
    <xdr:to>
      <xdr:col>19</xdr:col>
      <xdr:colOff>168275</xdr:colOff>
      <xdr:row>18</xdr:row>
      <xdr:rowOff>29633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B1:G29"/>
  <sheetViews>
    <sheetView tabSelected="1"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5.7109375" style="3" customWidth="1"/>
    <col min="4" max="4" width="15.28515625" style="3" customWidth="1"/>
    <col min="5" max="5" width="17.42578125" style="3" customWidth="1"/>
    <col min="6" max="6" width="15.2851562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7.25" customHeight="1" x14ac:dyDescent="0.2">
      <c r="B1" s="1" t="s">
        <v>32</v>
      </c>
      <c r="C1" s="18"/>
      <c r="D1" s="18"/>
      <c r="E1" s="18"/>
      <c r="F1" s="18"/>
      <c r="G1" s="18"/>
    </row>
    <row r="2" spans="2:7" ht="57" x14ac:dyDescent="0.2">
      <c r="B2" s="55" t="s">
        <v>27</v>
      </c>
      <c r="C2" s="56" t="s">
        <v>111</v>
      </c>
      <c r="D2" s="57" t="s">
        <v>103</v>
      </c>
      <c r="E2" s="56" t="s">
        <v>77</v>
      </c>
      <c r="F2" s="57" t="s">
        <v>112</v>
      </c>
      <c r="G2" s="56" t="s">
        <v>26</v>
      </c>
    </row>
    <row r="3" spans="2:7" x14ac:dyDescent="0.2">
      <c r="B3" s="5" t="s">
        <v>0</v>
      </c>
      <c r="C3" s="6">
        <v>1142</v>
      </c>
      <c r="D3" s="61">
        <v>1168</v>
      </c>
      <c r="E3" s="6">
        <f>SUM(C3)-D3</f>
        <v>-26</v>
      </c>
      <c r="F3" s="61">
        <v>1180</v>
      </c>
      <c r="G3" s="6">
        <f>SUM(C3)-F3</f>
        <v>-38</v>
      </c>
    </row>
    <row r="4" spans="2:7" x14ac:dyDescent="0.2">
      <c r="B4" s="5" t="s">
        <v>1</v>
      </c>
      <c r="C4" s="6">
        <v>3977</v>
      </c>
      <c r="D4" s="61">
        <v>4127</v>
      </c>
      <c r="E4" s="6">
        <f t="shared" ref="E4:E27" si="0">SUM(C4)-D4</f>
        <v>-150</v>
      </c>
      <c r="F4" s="61">
        <v>4175</v>
      </c>
      <c r="G4" s="6">
        <f t="shared" ref="G4:G27" si="1">SUM(C4)-F4</f>
        <v>-198</v>
      </c>
    </row>
    <row r="5" spans="2:7" x14ac:dyDescent="0.2">
      <c r="B5" s="5" t="s">
        <v>2</v>
      </c>
      <c r="C5" s="6">
        <v>2536</v>
      </c>
      <c r="D5" s="61">
        <v>2632</v>
      </c>
      <c r="E5" s="6">
        <f t="shared" si="0"/>
        <v>-96</v>
      </c>
      <c r="F5" s="61">
        <v>2666</v>
      </c>
      <c r="G5" s="6">
        <f t="shared" si="1"/>
        <v>-130</v>
      </c>
    </row>
    <row r="6" spans="2:7" x14ac:dyDescent="0.2">
      <c r="B6" s="5" t="s">
        <v>3</v>
      </c>
      <c r="C6" s="6">
        <v>4626</v>
      </c>
      <c r="D6" s="61">
        <v>4843</v>
      </c>
      <c r="E6" s="6">
        <f t="shared" si="0"/>
        <v>-217</v>
      </c>
      <c r="F6" s="61">
        <v>5247</v>
      </c>
      <c r="G6" s="6">
        <f t="shared" si="1"/>
        <v>-621</v>
      </c>
    </row>
    <row r="7" spans="2:7" x14ac:dyDescent="0.2">
      <c r="B7" s="5" t="s">
        <v>4</v>
      </c>
      <c r="C7" s="6">
        <v>5052</v>
      </c>
      <c r="D7" s="61">
        <v>5156</v>
      </c>
      <c r="E7" s="6">
        <f t="shared" si="0"/>
        <v>-104</v>
      </c>
      <c r="F7" s="61">
        <v>5349</v>
      </c>
      <c r="G7" s="6">
        <f t="shared" si="1"/>
        <v>-297</v>
      </c>
    </row>
    <row r="8" spans="2:7" x14ac:dyDescent="0.2">
      <c r="B8" s="5" t="s">
        <v>5</v>
      </c>
      <c r="C8" s="6">
        <v>1672</v>
      </c>
      <c r="D8" s="61">
        <v>1710</v>
      </c>
      <c r="E8" s="6">
        <f t="shared" si="0"/>
        <v>-38</v>
      </c>
      <c r="F8" s="61">
        <v>1827</v>
      </c>
      <c r="G8" s="6">
        <f t="shared" si="1"/>
        <v>-155</v>
      </c>
    </row>
    <row r="9" spans="2:7" x14ac:dyDescent="0.2">
      <c r="B9" s="9" t="s">
        <v>6</v>
      </c>
      <c r="C9" s="6">
        <v>2239</v>
      </c>
      <c r="D9" s="61">
        <v>2228</v>
      </c>
      <c r="E9" s="6">
        <f t="shared" si="0"/>
        <v>11</v>
      </c>
      <c r="F9" s="61">
        <v>2077</v>
      </c>
      <c r="G9" s="6">
        <f t="shared" si="1"/>
        <v>162</v>
      </c>
    </row>
    <row r="10" spans="2:7" x14ac:dyDescent="0.2">
      <c r="B10" s="5" t="s">
        <v>7</v>
      </c>
      <c r="C10" s="6">
        <v>1804</v>
      </c>
      <c r="D10" s="61">
        <v>1813</v>
      </c>
      <c r="E10" s="6">
        <f t="shared" si="0"/>
        <v>-9</v>
      </c>
      <c r="F10" s="61">
        <v>1761</v>
      </c>
      <c r="G10" s="6">
        <f t="shared" si="1"/>
        <v>43</v>
      </c>
    </row>
    <row r="11" spans="2:7" x14ac:dyDescent="0.2">
      <c r="B11" s="5" t="s">
        <v>8</v>
      </c>
      <c r="C11" s="6">
        <v>3199</v>
      </c>
      <c r="D11" s="61">
        <v>3283</v>
      </c>
      <c r="E11" s="6">
        <f t="shared" si="0"/>
        <v>-84</v>
      </c>
      <c r="F11" s="61">
        <v>3578</v>
      </c>
      <c r="G11" s="6">
        <f t="shared" si="1"/>
        <v>-379</v>
      </c>
    </row>
    <row r="12" spans="2:7" x14ac:dyDescent="0.2">
      <c r="B12" s="5" t="s">
        <v>9</v>
      </c>
      <c r="C12" s="6">
        <v>1882</v>
      </c>
      <c r="D12" s="61">
        <v>1954</v>
      </c>
      <c r="E12" s="6">
        <f t="shared" si="0"/>
        <v>-72</v>
      </c>
      <c r="F12" s="61">
        <v>1990</v>
      </c>
      <c r="G12" s="6">
        <f t="shared" si="1"/>
        <v>-108</v>
      </c>
    </row>
    <row r="13" spans="2:7" x14ac:dyDescent="0.2">
      <c r="B13" s="5" t="s">
        <v>10</v>
      </c>
      <c r="C13" s="6">
        <v>2671</v>
      </c>
      <c r="D13" s="61">
        <v>2797</v>
      </c>
      <c r="E13" s="6">
        <f t="shared" si="0"/>
        <v>-126</v>
      </c>
      <c r="F13" s="61">
        <v>3304</v>
      </c>
      <c r="G13" s="6">
        <f t="shared" si="1"/>
        <v>-633</v>
      </c>
    </row>
    <row r="14" spans="2:7" x14ac:dyDescent="0.2">
      <c r="B14" s="5" t="s">
        <v>11</v>
      </c>
      <c r="C14" s="6">
        <v>2700</v>
      </c>
      <c r="D14" s="61">
        <v>2769</v>
      </c>
      <c r="E14" s="6">
        <f t="shared" si="0"/>
        <v>-69</v>
      </c>
      <c r="F14" s="61">
        <v>2831</v>
      </c>
      <c r="G14" s="6">
        <f t="shared" si="1"/>
        <v>-131</v>
      </c>
    </row>
    <row r="15" spans="2:7" x14ac:dyDescent="0.2">
      <c r="B15" s="5" t="s">
        <v>12</v>
      </c>
      <c r="C15" s="6">
        <v>3156</v>
      </c>
      <c r="D15" s="61">
        <v>3248</v>
      </c>
      <c r="E15" s="6">
        <f t="shared" si="0"/>
        <v>-92</v>
      </c>
      <c r="F15" s="61">
        <v>3404</v>
      </c>
      <c r="G15" s="6">
        <f t="shared" si="1"/>
        <v>-248</v>
      </c>
    </row>
    <row r="16" spans="2:7" x14ac:dyDescent="0.2">
      <c r="B16" s="5" t="s">
        <v>13</v>
      </c>
      <c r="C16" s="6">
        <v>3053</v>
      </c>
      <c r="D16" s="61">
        <v>3149</v>
      </c>
      <c r="E16" s="6">
        <f t="shared" si="0"/>
        <v>-96</v>
      </c>
      <c r="F16" s="61">
        <v>3564</v>
      </c>
      <c r="G16" s="6">
        <f t="shared" si="1"/>
        <v>-511</v>
      </c>
    </row>
    <row r="17" spans="2:7" x14ac:dyDescent="0.2">
      <c r="B17" s="5" t="s">
        <v>14</v>
      </c>
      <c r="C17" s="6">
        <v>3593</v>
      </c>
      <c r="D17" s="61">
        <v>3596</v>
      </c>
      <c r="E17" s="6">
        <f t="shared" si="0"/>
        <v>-3</v>
      </c>
      <c r="F17" s="61">
        <v>3799</v>
      </c>
      <c r="G17" s="6">
        <f t="shared" si="1"/>
        <v>-206</v>
      </c>
    </row>
    <row r="18" spans="2:7" x14ac:dyDescent="0.2">
      <c r="B18" s="5" t="s">
        <v>15</v>
      </c>
      <c r="C18" s="6">
        <v>2763</v>
      </c>
      <c r="D18" s="61">
        <v>2836</v>
      </c>
      <c r="E18" s="6">
        <f t="shared" si="0"/>
        <v>-73</v>
      </c>
      <c r="F18" s="61">
        <v>3197</v>
      </c>
      <c r="G18" s="6">
        <f t="shared" si="1"/>
        <v>-434</v>
      </c>
    </row>
    <row r="19" spans="2:7" x14ac:dyDescent="0.2">
      <c r="B19" s="5" t="s">
        <v>16</v>
      </c>
      <c r="C19" s="6">
        <v>4917</v>
      </c>
      <c r="D19" s="61">
        <v>5092</v>
      </c>
      <c r="E19" s="6">
        <f t="shared" si="0"/>
        <v>-175</v>
      </c>
      <c r="F19" s="61">
        <v>5483</v>
      </c>
      <c r="G19" s="6">
        <f t="shared" si="1"/>
        <v>-566</v>
      </c>
    </row>
    <row r="20" spans="2:7" x14ac:dyDescent="0.2">
      <c r="B20" s="5" t="s">
        <v>17</v>
      </c>
      <c r="C20" s="6">
        <v>2802</v>
      </c>
      <c r="D20" s="61">
        <v>2840</v>
      </c>
      <c r="E20" s="6">
        <f t="shared" si="0"/>
        <v>-38</v>
      </c>
      <c r="F20" s="61">
        <v>2601</v>
      </c>
      <c r="G20" s="6">
        <f t="shared" si="1"/>
        <v>201</v>
      </c>
    </row>
    <row r="21" spans="2:7" x14ac:dyDescent="0.2">
      <c r="B21" s="5" t="s">
        <v>18</v>
      </c>
      <c r="C21" s="6">
        <v>2007</v>
      </c>
      <c r="D21" s="61">
        <v>2013</v>
      </c>
      <c r="E21" s="6">
        <f t="shared" si="0"/>
        <v>-6</v>
      </c>
      <c r="F21" s="61">
        <v>2268</v>
      </c>
      <c r="G21" s="6">
        <f t="shared" si="1"/>
        <v>-261</v>
      </c>
    </row>
    <row r="22" spans="2:7" x14ac:dyDescent="0.2">
      <c r="B22" s="5" t="s">
        <v>19</v>
      </c>
      <c r="C22" s="6">
        <v>3311</v>
      </c>
      <c r="D22" s="61">
        <v>3417</v>
      </c>
      <c r="E22" s="6">
        <f t="shared" si="0"/>
        <v>-106</v>
      </c>
      <c r="F22" s="61">
        <v>3518</v>
      </c>
      <c r="G22" s="6">
        <f t="shared" si="1"/>
        <v>-207</v>
      </c>
    </row>
    <row r="23" spans="2:7" x14ac:dyDescent="0.2">
      <c r="B23" s="5" t="s">
        <v>20</v>
      </c>
      <c r="C23" s="6">
        <v>1325</v>
      </c>
      <c r="D23" s="61">
        <v>1376</v>
      </c>
      <c r="E23" s="6">
        <f t="shared" si="0"/>
        <v>-51</v>
      </c>
      <c r="F23" s="61">
        <v>1611</v>
      </c>
      <c r="G23" s="6">
        <f t="shared" si="1"/>
        <v>-286</v>
      </c>
    </row>
    <row r="24" spans="2:7" x14ac:dyDescent="0.2">
      <c r="B24" s="5" t="s">
        <v>21</v>
      </c>
      <c r="C24" s="6">
        <v>778</v>
      </c>
      <c r="D24" s="61">
        <v>802</v>
      </c>
      <c r="E24" s="6">
        <f t="shared" si="0"/>
        <v>-24</v>
      </c>
      <c r="F24" s="61">
        <v>790</v>
      </c>
      <c r="G24" s="6">
        <f t="shared" si="1"/>
        <v>-12</v>
      </c>
    </row>
    <row r="25" spans="2:7" x14ac:dyDescent="0.2">
      <c r="B25" s="5" t="s">
        <v>22</v>
      </c>
      <c r="C25" s="6">
        <v>2516</v>
      </c>
      <c r="D25" s="61">
        <v>2556</v>
      </c>
      <c r="E25" s="6">
        <f t="shared" si="0"/>
        <v>-40</v>
      </c>
      <c r="F25" s="61">
        <v>2873</v>
      </c>
      <c r="G25" s="6">
        <f t="shared" si="1"/>
        <v>-357</v>
      </c>
    </row>
    <row r="26" spans="2:7" x14ac:dyDescent="0.2">
      <c r="B26" s="5" t="s">
        <v>23</v>
      </c>
      <c r="C26" s="6">
        <v>5487</v>
      </c>
      <c r="D26" s="61">
        <v>5508</v>
      </c>
      <c r="E26" s="6">
        <f t="shared" si="0"/>
        <v>-21</v>
      </c>
      <c r="F26" s="61">
        <v>6191</v>
      </c>
      <c r="G26" s="6">
        <f t="shared" si="1"/>
        <v>-704</v>
      </c>
    </row>
    <row r="27" spans="2:7" x14ac:dyDescent="0.2">
      <c r="B27" s="5" t="s">
        <v>24</v>
      </c>
      <c r="C27" s="6">
        <v>1125</v>
      </c>
      <c r="D27" s="61">
        <v>1155</v>
      </c>
      <c r="E27" s="6">
        <f t="shared" si="0"/>
        <v>-30</v>
      </c>
      <c r="F27" s="61">
        <v>1432</v>
      </c>
      <c r="G27" s="6">
        <f t="shared" si="1"/>
        <v>-307</v>
      </c>
    </row>
    <row r="28" spans="2:7" ht="15" x14ac:dyDescent="0.25">
      <c r="B28" s="58" t="s">
        <v>25</v>
      </c>
      <c r="C28" s="59">
        <f>SUM(C3:C27)</f>
        <v>70333</v>
      </c>
      <c r="D28" s="60">
        <f>SUM(D3:D27)</f>
        <v>72068</v>
      </c>
      <c r="E28" s="59">
        <f>SUM(C28)-D28</f>
        <v>-1735</v>
      </c>
      <c r="F28" s="60">
        <f>SUM(F3:F27)</f>
        <v>76716</v>
      </c>
      <c r="G28" s="59">
        <f>SUM(C28)-F28</f>
        <v>-6383</v>
      </c>
    </row>
    <row r="29" spans="2:7" x14ac:dyDescent="0.2">
      <c r="E29" s="19"/>
      <c r="F29" s="19"/>
      <c r="G29" s="19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-0.249977111117893"/>
  </sheetPr>
  <dimension ref="A1:H25"/>
  <sheetViews>
    <sheetView zoomScale="80" zoomScaleNormal="8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5.14062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20"/>
      <c r="D2" s="21"/>
    </row>
    <row r="3" spans="1:8" ht="57" x14ac:dyDescent="0.2">
      <c r="B3" s="62" t="s">
        <v>88</v>
      </c>
      <c r="C3" s="55" t="str">
        <f>T('2_kob.'!B2)</f>
        <v>powiaty</v>
      </c>
      <c r="D3" s="55" t="str">
        <f>T('2_kob.'!C2)</f>
        <v>liczba bezrobotnych kobiet stan na 31 III '23 r.</v>
      </c>
      <c r="E3" s="55" t="str">
        <f>T('2_kob.'!D2)</f>
        <v>liczba bezrobotnych kobiet stan na 28 II '23 r.</v>
      </c>
      <c r="F3" s="55" t="str">
        <f>T('2_kob.'!E2)</f>
        <v>wzrost/spadek do poprzedniego  miesiąca</v>
      </c>
      <c r="G3" s="55" t="str">
        <f>T('2_kob.'!F2)</f>
        <v>liczba bezrobotnych kobiet stan na 31 III '22 r.</v>
      </c>
      <c r="H3" s="55" t="str">
        <f>T('2_kob.'!G2)</f>
        <v>wzrost/spadek do analogicznego okresu ubr.</v>
      </c>
    </row>
    <row r="4" spans="1:8" x14ac:dyDescent="0.2">
      <c r="A4" s="3">
        <v>1</v>
      </c>
      <c r="B4" s="6">
        <f>RANK('5_bezr. na wsi'!C3,'5_bezr. na wsi'!$C$3:'5_bezr. na wsi'!$C$28,1)+COUNTIF('5_bezr. na wsi'!$C$3:'5_bezr. na wsi'!C3,'5_bezr. na wsi'!C3)-1</f>
        <v>1</v>
      </c>
      <c r="C4" s="5" t="str">
        <f>INDEX('5_bezr. na wsi'!B3:G28,MATCH(1,B4:B25,0),1)</f>
        <v>bieszczadzki</v>
      </c>
      <c r="D4" s="25">
        <f>INDEX('5_bezr. na wsi'!B3:G28,MATCH(1,B4:B25,0),2)</f>
        <v>730</v>
      </c>
      <c r="E4" s="61">
        <f>INDEX('5_bezr. na wsi'!B3:G28,MATCH(1,B4:B25,0),3)</f>
        <v>751</v>
      </c>
      <c r="F4" s="6">
        <f>INDEX('5_bezr. na wsi'!B3:G28,MATCH(1,B4:B25,0),4)</f>
        <v>-21</v>
      </c>
      <c r="G4" s="61">
        <f>INDEX('5_bezr. na wsi'!B3:G28,MATCH(1,B4:B25,0),5)</f>
        <v>756</v>
      </c>
      <c r="H4" s="6">
        <f>INDEX('5_bezr. na wsi'!B3:G28,MATCH(1,B4:B25,0),6)</f>
        <v>-26</v>
      </c>
    </row>
    <row r="5" spans="1:8" x14ac:dyDescent="0.2">
      <c r="A5" s="3">
        <v>2</v>
      </c>
      <c r="B5" s="6">
        <f>RANK('5_bezr. na wsi'!C4,'5_bezr. na wsi'!$C$3:'5_bezr. na wsi'!$C$28,1)+COUNTIF('5_bezr. na wsi'!$C$3:'5_bezr. na wsi'!C4,'5_bezr. na wsi'!C4)-1</f>
        <v>20</v>
      </c>
      <c r="C5" s="5" t="str">
        <f>INDEX('5_bezr. na wsi'!B3:G28,MATCH(2,B4:B25,0),1)</f>
        <v>stalowowolski</v>
      </c>
      <c r="D5" s="6">
        <f>INDEX('5_bezr. na wsi'!B3:G28,MATCH(2,B4:B25,0),2)</f>
        <v>821</v>
      </c>
      <c r="E5" s="61">
        <f>INDEX('5_bezr. na wsi'!B3:G28,MATCH(2,B4:B25,0),3)</f>
        <v>840</v>
      </c>
      <c r="F5" s="6">
        <f>INDEX('5_bezr. na wsi'!B3:G28,MATCH(2,B4:B25,0),4)</f>
        <v>-19</v>
      </c>
      <c r="G5" s="61">
        <f>INDEX('5_bezr. na wsi'!B3:G28,MATCH(2,B4:B25,0),5)</f>
        <v>890</v>
      </c>
      <c r="H5" s="6">
        <f>INDEX('5_bezr. na wsi'!B3:G28,MATCH(2,B4:B25,0),6)</f>
        <v>-69</v>
      </c>
    </row>
    <row r="6" spans="1:8" x14ac:dyDescent="0.2">
      <c r="A6" s="3">
        <v>3</v>
      </c>
      <c r="B6" s="6">
        <f>RANK('5_bezr. na wsi'!C5,'5_bezr. na wsi'!$C$3:'5_bezr. na wsi'!$C$28,1)+COUNTIF('5_bezr. na wsi'!$C$3:'5_bezr. na wsi'!C5,'5_bezr. na wsi'!C5)-1</f>
        <v>8</v>
      </c>
      <c r="C6" s="5" t="str">
        <f>INDEX('5_bezr. na wsi'!B3:G28,MATCH(3,B4:B25,0),1)</f>
        <v xml:space="preserve">tarnobrzeski </v>
      </c>
      <c r="D6" s="6">
        <f>INDEX('5_bezr. na wsi'!B3:G28,MATCH(3,B4:B25,0),2)</f>
        <v>1065</v>
      </c>
      <c r="E6" s="61">
        <f>INDEX('5_bezr. na wsi'!B3:G28,MATCH(3,B4:B25,0),3)</f>
        <v>1119</v>
      </c>
      <c r="F6" s="6">
        <f>INDEX('5_bezr. na wsi'!B3:G28,MATCH(3,B4:B25,0),4)</f>
        <v>-54</v>
      </c>
      <c r="G6" s="61">
        <f>INDEX('5_bezr. na wsi'!B3:G28,MATCH(3,B4:B25,0),5)</f>
        <v>1301</v>
      </c>
      <c r="H6" s="6">
        <f>INDEX('5_bezr. na wsi'!B3:G28,MATCH(3,B4:B25,0),6)</f>
        <v>-236</v>
      </c>
    </row>
    <row r="7" spans="1:8" x14ac:dyDescent="0.2">
      <c r="A7" s="3">
        <v>4</v>
      </c>
      <c r="B7" s="6">
        <f>RANK('5_bezr. na wsi'!C6,'5_bezr. na wsi'!$C$3:'5_bezr. na wsi'!$C$28,1)+COUNTIF('5_bezr. na wsi'!$C$3:'5_bezr. na wsi'!C6,'5_bezr. na wsi'!C6)-1</f>
        <v>16</v>
      </c>
      <c r="C7" s="5" t="str">
        <f>INDEX('5_bezr. na wsi'!B3:G28,MATCH(4,B4:B25,0),1)</f>
        <v>lubaczowski</v>
      </c>
      <c r="D7" s="6">
        <f>INDEX('5_bezr. na wsi'!B3:G28,MATCH(4,B4:B25,0),2)</f>
        <v>1234</v>
      </c>
      <c r="E7" s="61">
        <f>INDEX('5_bezr. na wsi'!B3:G28,MATCH(4,B4:B25,0),3)</f>
        <v>1308</v>
      </c>
      <c r="F7" s="6">
        <f>INDEX('5_bezr. na wsi'!B3:G28,MATCH(4,B4:B25,0),4)</f>
        <v>-74</v>
      </c>
      <c r="G7" s="61">
        <f>INDEX('5_bezr. na wsi'!B3:G28,MATCH(4,B4:B25,0),5)</f>
        <v>1297</v>
      </c>
      <c r="H7" s="6">
        <f>INDEX('5_bezr. na wsi'!B3:G28,MATCH(4,B4:B25,0),6)</f>
        <v>-63</v>
      </c>
    </row>
    <row r="8" spans="1:8" x14ac:dyDescent="0.2">
      <c r="A8" s="3">
        <v>5</v>
      </c>
      <c r="B8" s="6">
        <f>RANK('5_bezr. na wsi'!C7,'5_bezr. na wsi'!$C$3:'5_bezr. na wsi'!$C$28,1)+COUNTIF('5_bezr. na wsi'!$C$3:'5_bezr. na wsi'!C7,'5_bezr. na wsi'!C7)-1</f>
        <v>19</v>
      </c>
      <c r="C8" s="5" t="str">
        <f>INDEX('5_bezr. na wsi'!B3:G28,MATCH(5,B4:B25,0),1)</f>
        <v>mielecki</v>
      </c>
      <c r="D8" s="6">
        <f>INDEX('5_bezr. na wsi'!B3:G28,MATCH(5,B4:B25,0),2)</f>
        <v>1366</v>
      </c>
      <c r="E8" s="61">
        <f>INDEX('5_bezr. na wsi'!B3:G28,MATCH(5,B4:B25,0),3)</f>
        <v>1403</v>
      </c>
      <c r="F8" s="6">
        <f>INDEX('5_bezr. na wsi'!B3:G28,MATCH(5,B4:B25,0),4)</f>
        <v>-37</v>
      </c>
      <c r="G8" s="61">
        <f>INDEX('5_bezr. na wsi'!B3:G28,MATCH(5,B4:B25,0),5)</f>
        <v>1384</v>
      </c>
      <c r="H8" s="6">
        <f>INDEX('5_bezr. na wsi'!B3:G28,MATCH(5,B4:B25,0),6)</f>
        <v>-18</v>
      </c>
    </row>
    <row r="9" spans="1:8" x14ac:dyDescent="0.2">
      <c r="A9" s="3">
        <v>6</v>
      </c>
      <c r="B9" s="6">
        <f>RANK('5_bezr. na wsi'!C8,'5_bezr. na wsi'!$C$3:'5_bezr. na wsi'!$C$28,1)+COUNTIF('5_bezr. na wsi'!$C$3:'5_bezr. na wsi'!C8,'5_bezr. na wsi'!C8)-1</f>
        <v>6</v>
      </c>
      <c r="C9" s="5" t="str">
        <f>INDEX('5_bezr. na wsi'!B3:G28,MATCH(6,B4:B25,0),1)</f>
        <v>kolbuszowski</v>
      </c>
      <c r="D9" s="6">
        <f>INDEX('5_bezr. na wsi'!B3:G28,MATCH(6,B4:B25,0),2)</f>
        <v>1466</v>
      </c>
      <c r="E9" s="61">
        <f>INDEX('5_bezr. na wsi'!B3:G28,MATCH(6,B4:B25,0),3)</f>
        <v>1504</v>
      </c>
      <c r="F9" s="6">
        <f>INDEX('5_bezr. na wsi'!B3:G28,MATCH(6,B4:B25,0),4)</f>
        <v>-38</v>
      </c>
      <c r="G9" s="61">
        <f>INDEX('5_bezr. na wsi'!B3:G28,MATCH(6,B4:B25,0),5)</f>
        <v>1581</v>
      </c>
      <c r="H9" s="6">
        <f>INDEX('5_bezr. na wsi'!B3:G28,MATCH(6,B4:B25,0),6)</f>
        <v>-115</v>
      </c>
    </row>
    <row r="10" spans="1:8" x14ac:dyDescent="0.2">
      <c r="A10" s="3">
        <v>7</v>
      </c>
      <c r="B10" s="6">
        <f>RANK('5_bezr. na wsi'!C9,'5_bezr. na wsi'!$C$3:'5_bezr. na wsi'!$C$28,1)+COUNTIF('5_bezr. na wsi'!$C$3:'5_bezr. na wsi'!C9,'5_bezr. na wsi'!C9)-1</f>
        <v>11</v>
      </c>
      <c r="C10" s="9" t="str">
        <f>INDEX('5_bezr. na wsi'!B3:G28,MATCH(7,B4:B25,0),1)</f>
        <v>leski</v>
      </c>
      <c r="D10" s="6">
        <f>INDEX('5_bezr. na wsi'!B3:G28,MATCH(7,B4:B25,0),2)</f>
        <v>1487</v>
      </c>
      <c r="E10" s="61">
        <f>INDEX('5_bezr. na wsi'!B3:G28,MATCH(7,B4:B25,0),3)</f>
        <v>1493</v>
      </c>
      <c r="F10" s="6">
        <f>INDEX('5_bezr. na wsi'!B3:G28,MATCH(7,B4:B25,0),4)</f>
        <v>-6</v>
      </c>
      <c r="G10" s="61">
        <f>INDEX('5_bezr. na wsi'!B3:G28,MATCH(7,B4:B25,0),5)</f>
        <v>1458</v>
      </c>
      <c r="H10" s="6">
        <f>INDEX('5_bezr. na wsi'!B3:G28,MATCH(7,B4:B25,0),6)</f>
        <v>29</v>
      </c>
    </row>
    <row r="11" spans="1:8" x14ac:dyDescent="0.2">
      <c r="A11" s="3">
        <v>8</v>
      </c>
      <c r="B11" s="6">
        <f>RANK('5_bezr. na wsi'!C10,'5_bezr. na wsi'!$C$3:'5_bezr. na wsi'!$C$28,1)+COUNTIF('5_bezr. na wsi'!$C$3:'5_bezr. na wsi'!C10,'5_bezr. na wsi'!C10)-1</f>
        <v>7</v>
      </c>
      <c r="C11" s="5" t="str">
        <f>INDEX('5_bezr. na wsi'!B3:G28,MATCH(8,B4:B25,0),1)</f>
        <v>dębicki</v>
      </c>
      <c r="D11" s="6">
        <f>INDEX('5_bezr. na wsi'!B3:G28,MATCH(8,B4:B25,0),2)</f>
        <v>1535</v>
      </c>
      <c r="E11" s="61">
        <f>INDEX('5_bezr. na wsi'!B3:G28,MATCH(8,B4:B25,0),3)</f>
        <v>1599</v>
      </c>
      <c r="F11" s="6">
        <f>INDEX('5_bezr. na wsi'!B3:G28,MATCH(8,B4:B25,0),4)</f>
        <v>-64</v>
      </c>
      <c r="G11" s="61">
        <f>INDEX('5_bezr. na wsi'!B3:G28,MATCH(8,B4:B25,0),5)</f>
        <v>1554</v>
      </c>
      <c r="H11" s="6">
        <f>INDEX('5_bezr. na wsi'!B3:G28,MATCH(8,B4:B25,0),6)</f>
        <v>-19</v>
      </c>
    </row>
    <row r="12" spans="1:8" x14ac:dyDescent="0.2">
      <c r="A12" s="3">
        <v>9</v>
      </c>
      <c r="B12" s="6">
        <f>RANK('5_bezr. na wsi'!C11,'5_bezr. na wsi'!$C$3:'5_bezr. na wsi'!$C$28,1)+COUNTIF('5_bezr. na wsi'!$C$3:'5_bezr. na wsi'!C11,'5_bezr. na wsi'!C11)-1</f>
        <v>14</v>
      </c>
      <c r="C12" s="5" t="str">
        <f>INDEX('5_bezr. na wsi'!B3:G28,MATCH(9,B4:B25,0),1)</f>
        <v>sanocki</v>
      </c>
      <c r="D12" s="6">
        <f>INDEX('5_bezr. na wsi'!B3:G28,MATCH(9,B4:B25,0),2)</f>
        <v>1601</v>
      </c>
      <c r="E12" s="61">
        <f>INDEX('5_bezr. na wsi'!B3:G28,MATCH(9,B4:B25,0),3)</f>
        <v>1635</v>
      </c>
      <c r="F12" s="6">
        <f>INDEX('5_bezr. na wsi'!B3:G28,MATCH(9,B4:B25,0),4)</f>
        <v>-34</v>
      </c>
      <c r="G12" s="61">
        <f>INDEX('5_bezr. na wsi'!B3:G28,MATCH(9,B4:B25,0),5)</f>
        <v>1498</v>
      </c>
      <c r="H12" s="6">
        <f>INDEX('5_bezr. na wsi'!B3:G28,MATCH(9,B4:B25,0),6)</f>
        <v>103</v>
      </c>
    </row>
    <row r="13" spans="1:8" x14ac:dyDescent="0.2">
      <c r="A13" s="3">
        <v>10</v>
      </c>
      <c r="B13" s="6">
        <f>RANK('5_bezr. na wsi'!C12,'5_bezr. na wsi'!$C$3:'5_bezr. na wsi'!$C$28,1)+COUNTIF('5_bezr. na wsi'!$C$3:'5_bezr. na wsi'!C12,'5_bezr. na wsi'!C12)-1</f>
        <v>4</v>
      </c>
      <c r="C13" s="5" t="str">
        <f>INDEX('5_bezr. na wsi'!B3:G28,MATCH(10,B4:B25,0),1)</f>
        <v>ropczycko-sędziszowski</v>
      </c>
      <c r="D13" s="6">
        <f>INDEX('5_bezr. na wsi'!B3:G28,MATCH(10,B4:B25,0),2)</f>
        <v>1769</v>
      </c>
      <c r="E13" s="61">
        <f>INDEX('5_bezr. na wsi'!B3:G28,MATCH(10,B4:B25,0),3)</f>
        <v>1849</v>
      </c>
      <c r="F13" s="6">
        <f>INDEX('5_bezr. na wsi'!B3:G28,MATCH(10,B4:B25,0),4)</f>
        <v>-80</v>
      </c>
      <c r="G13" s="61">
        <f>INDEX('5_bezr. na wsi'!B3:G28,MATCH(10,B4:B25,0),5)</f>
        <v>2043</v>
      </c>
      <c r="H13" s="6">
        <f>INDEX('5_bezr. na wsi'!B3:G28,MATCH(10,B4:B25,0),6)</f>
        <v>-274</v>
      </c>
    </row>
    <row r="14" spans="1:8" x14ac:dyDescent="0.2">
      <c r="A14" s="3">
        <v>11</v>
      </c>
      <c r="B14" s="6">
        <f>RANK('5_bezr. na wsi'!C13,'5_bezr. na wsi'!$C$3:'5_bezr. na wsi'!$C$28,1)+COUNTIF('5_bezr. na wsi'!$C$3:'5_bezr. na wsi'!C13,'5_bezr. na wsi'!C13)-1</f>
        <v>13</v>
      </c>
      <c r="C14" s="5" t="str">
        <f>INDEX('5_bezr. na wsi'!B3:G28,MATCH(11,B4:B25,0),1)</f>
        <v>krośnieński</v>
      </c>
      <c r="D14" s="6">
        <f>INDEX('5_bezr. na wsi'!B3:G28,MATCH(11,B4:B25,0),2)</f>
        <v>2027</v>
      </c>
      <c r="E14" s="61">
        <f>INDEX('5_bezr. na wsi'!B3:G28,MATCH(11,B4:B25,0),3)</f>
        <v>2017</v>
      </c>
      <c r="F14" s="6">
        <f>INDEX('5_bezr. na wsi'!B3:G28,MATCH(11,B4:B25,0),4)</f>
        <v>10</v>
      </c>
      <c r="G14" s="61">
        <f>INDEX('5_bezr. na wsi'!B3:G28,MATCH(11,B4:B25,0),5)</f>
        <v>1869</v>
      </c>
      <c r="H14" s="6">
        <f>INDEX('5_bezr. na wsi'!B3:G28,MATCH(11,B4:B25,0),6)</f>
        <v>158</v>
      </c>
    </row>
    <row r="15" spans="1:8" x14ac:dyDescent="0.2">
      <c r="A15" s="3">
        <v>12</v>
      </c>
      <c r="B15" s="6">
        <f>RANK('5_bezr. na wsi'!C14,'5_bezr. na wsi'!$C$3:'5_bezr. na wsi'!$C$28,1)+COUNTIF('5_bezr. na wsi'!$C$3:'5_bezr. na wsi'!C14,'5_bezr. na wsi'!C14)-1</f>
        <v>5</v>
      </c>
      <c r="C15" s="5" t="str">
        <f>INDEX('5_bezr. na wsi'!B3:G28,MATCH(12,B4:B25,0),1)</f>
        <v>niżański</v>
      </c>
      <c r="D15" s="6">
        <f>INDEX('5_bezr. na wsi'!B3:G28,MATCH(12,B4:B25,0),2)</f>
        <v>2060</v>
      </c>
      <c r="E15" s="61">
        <f>INDEX('5_bezr. na wsi'!B3:G28,MATCH(12,B4:B25,0),3)</f>
        <v>2120</v>
      </c>
      <c r="F15" s="6">
        <f>INDEX('5_bezr. na wsi'!B3:G28,MATCH(12,B4:B25,0),4)</f>
        <v>-60</v>
      </c>
      <c r="G15" s="61">
        <f>INDEX('5_bezr. na wsi'!B3:G28,MATCH(12,B4:B25,0),5)</f>
        <v>2194</v>
      </c>
      <c r="H15" s="6">
        <f>INDEX('5_bezr. na wsi'!B3:G28,MATCH(12,B4:B25,0),6)</f>
        <v>-134</v>
      </c>
    </row>
    <row r="16" spans="1:8" x14ac:dyDescent="0.2">
      <c r="A16" s="3">
        <v>13</v>
      </c>
      <c r="B16" s="6">
        <f>RANK('5_bezr. na wsi'!C15,'5_bezr. na wsi'!$C$3:'5_bezr. na wsi'!$C$28,1)+COUNTIF('5_bezr. na wsi'!$C$3:'5_bezr. na wsi'!C15,'5_bezr. na wsi'!C15)-1</f>
        <v>12</v>
      </c>
      <c r="C16" s="5" t="str">
        <f>INDEX('5_bezr. na wsi'!B3:G28,MATCH(13,B4:B25,0),1)</f>
        <v>łańcucki</v>
      </c>
      <c r="D16" s="6">
        <f>INDEX('5_bezr. na wsi'!B3:G28,MATCH(13,B4:B25,0),2)</f>
        <v>2090</v>
      </c>
      <c r="E16" s="61">
        <f>INDEX('5_bezr. na wsi'!B3:G28,MATCH(13,B4:B25,0),3)</f>
        <v>2199</v>
      </c>
      <c r="F16" s="6">
        <f>INDEX('5_bezr. na wsi'!B3:G28,MATCH(13,B4:B25,0),4)</f>
        <v>-109</v>
      </c>
      <c r="G16" s="61">
        <f>INDEX('5_bezr. na wsi'!B3:G28,MATCH(13,B4:B25,0),5)</f>
        <v>2632</v>
      </c>
      <c r="H16" s="6">
        <f>INDEX('5_bezr. na wsi'!B3:G28,MATCH(13,B4:B25,0),6)</f>
        <v>-542</v>
      </c>
    </row>
    <row r="17" spans="1:8" x14ac:dyDescent="0.2">
      <c r="A17" s="3">
        <v>14</v>
      </c>
      <c r="B17" s="6">
        <f>RANK('5_bezr. na wsi'!C16,'5_bezr. na wsi'!$C$3:'5_bezr. na wsi'!$C$28,1)+COUNTIF('5_bezr. na wsi'!$C$3:'5_bezr. na wsi'!C16,'5_bezr. na wsi'!C16)-1</f>
        <v>18</v>
      </c>
      <c r="C17" s="5" t="str">
        <f>INDEX('5_bezr. na wsi'!B3:G28,MATCH(14,B4:B25,0),1)</f>
        <v>leżajski</v>
      </c>
      <c r="D17" s="6">
        <f>INDEX('5_bezr. na wsi'!B3:G28,MATCH(14,B4:B25,0),2)</f>
        <v>2452</v>
      </c>
      <c r="E17" s="61">
        <f>INDEX('5_bezr. na wsi'!B3:G28,MATCH(14,B4:B25,0),3)</f>
        <v>2524</v>
      </c>
      <c r="F17" s="6">
        <f>INDEX('5_bezr. na wsi'!B3:G28,MATCH(14,B4:B25,0),4)</f>
        <v>-72</v>
      </c>
      <c r="G17" s="61">
        <f>INDEX('5_bezr. na wsi'!B3:G28,MATCH(14,B4:B25,0),5)</f>
        <v>2728</v>
      </c>
      <c r="H17" s="6">
        <f>INDEX('5_bezr. na wsi'!B3:G28,MATCH(14,B4:B25,0),6)</f>
        <v>-276</v>
      </c>
    </row>
    <row r="18" spans="1:8" x14ac:dyDescent="0.2">
      <c r="A18" s="3">
        <v>15</v>
      </c>
      <c r="B18" s="6">
        <f>RANK('5_bezr. na wsi'!C17,'5_bezr. na wsi'!$C$3:'5_bezr. na wsi'!$C$28,1)+COUNTIF('5_bezr. na wsi'!$C$3:'5_bezr. na wsi'!C17,'5_bezr. na wsi'!C17)-1</f>
        <v>15</v>
      </c>
      <c r="C18" s="5" t="str">
        <f>INDEX('5_bezr. na wsi'!B3:G28,MATCH(15,B4:B25,0),1)</f>
        <v>przeworski</v>
      </c>
      <c r="D18" s="6">
        <f>INDEX('5_bezr. na wsi'!B3:G28,MATCH(15,B4:B25,0),2)</f>
        <v>2758</v>
      </c>
      <c r="E18" s="61">
        <f>INDEX('5_bezr. na wsi'!B3:G28,MATCH(15,B4:B25,0),3)</f>
        <v>2746</v>
      </c>
      <c r="F18" s="6">
        <f>INDEX('5_bezr. na wsi'!B3:G28,MATCH(15,B4:B25,0),4)</f>
        <v>12</v>
      </c>
      <c r="G18" s="61">
        <f>INDEX('5_bezr. na wsi'!B3:G28,MATCH(15,B4:B25,0),5)</f>
        <v>2858</v>
      </c>
      <c r="H18" s="6">
        <f>INDEX('5_bezr. na wsi'!B3:G28,MATCH(15,B4:B25,0),6)</f>
        <v>-100</v>
      </c>
    </row>
    <row r="19" spans="1:8" x14ac:dyDescent="0.2">
      <c r="A19" s="3">
        <v>16</v>
      </c>
      <c r="B19" s="6">
        <f>RANK('5_bezr. na wsi'!C18,'5_bezr. na wsi'!$C$3:'5_bezr. na wsi'!$C$28,1)+COUNTIF('5_bezr. na wsi'!$C$3:'5_bezr. na wsi'!C18,'5_bezr. na wsi'!C18)-1</f>
        <v>10</v>
      </c>
      <c r="C19" s="5" t="str">
        <f>INDEX('5_bezr. na wsi'!B3:G28,MATCH(16,B4:B25,0),1)</f>
        <v>jarosławski</v>
      </c>
      <c r="D19" s="6">
        <f>INDEX('5_bezr. na wsi'!B3:G28,MATCH(16,B4:B25,0),2)</f>
        <v>2851</v>
      </c>
      <c r="E19" s="61">
        <f>INDEX('5_bezr. na wsi'!B3:G28,MATCH(16,B4:B25,0),3)</f>
        <v>3038</v>
      </c>
      <c r="F19" s="6">
        <f>INDEX('5_bezr. na wsi'!B3:G28,MATCH(16,B4:B25,0),4)</f>
        <v>-187</v>
      </c>
      <c r="G19" s="61">
        <f>INDEX('5_bezr. na wsi'!B3:G28,MATCH(16,B4:B25,0),5)</f>
        <v>3286</v>
      </c>
      <c r="H19" s="6">
        <f>INDEX('5_bezr. na wsi'!B3:G28,MATCH(16,B4:B25,0),6)</f>
        <v>-435</v>
      </c>
    </row>
    <row r="20" spans="1:8" x14ac:dyDescent="0.2">
      <c r="A20" s="3">
        <v>17</v>
      </c>
      <c r="B20" s="6">
        <f>RANK('5_bezr. na wsi'!C19,'5_bezr. na wsi'!$C$3:'5_bezr. na wsi'!$C$28,1)+COUNTIF('5_bezr. na wsi'!$C$3:'5_bezr. na wsi'!C19,'5_bezr. na wsi'!C19)-1</f>
        <v>21</v>
      </c>
      <c r="C20" s="5" t="str">
        <f>INDEX('5_bezr. na wsi'!B3:G28,MATCH(17,B4:B25,0),1)</f>
        <v>strzyżowski</v>
      </c>
      <c r="D20" s="6">
        <f>INDEX('5_bezr. na wsi'!B3:G28,MATCH(17,B4:B25,0),2)</f>
        <v>2966</v>
      </c>
      <c r="E20" s="61">
        <f>INDEX('5_bezr. na wsi'!B3:G28,MATCH(17,B4:B25,0),3)</f>
        <v>3050</v>
      </c>
      <c r="F20" s="6">
        <f>INDEX('5_bezr. na wsi'!B3:G28,MATCH(17,B4:B25,0),4)</f>
        <v>-84</v>
      </c>
      <c r="G20" s="61">
        <f>INDEX('5_bezr. na wsi'!B3:G28,MATCH(17,B4:B25,0),5)</f>
        <v>3122</v>
      </c>
      <c r="H20" s="6">
        <f>INDEX('5_bezr. na wsi'!B3:G28,MATCH(17,B4:B25,0),6)</f>
        <v>-156</v>
      </c>
    </row>
    <row r="21" spans="1:8" x14ac:dyDescent="0.2">
      <c r="A21" s="3">
        <v>18</v>
      </c>
      <c r="B21" s="6">
        <f>RANK('5_bezr. na wsi'!C20,'5_bezr. na wsi'!$C$3:'5_bezr. na wsi'!$C$28,1)+COUNTIF('5_bezr. na wsi'!$C$3:'5_bezr. na wsi'!C20,'5_bezr. na wsi'!C20)-1</f>
        <v>9</v>
      </c>
      <c r="C21" s="5" t="str">
        <f>INDEX('5_bezr. na wsi'!B3:G28,MATCH(18,B4:B25,0),1)</f>
        <v>przemyski</v>
      </c>
      <c r="D21" s="6">
        <f>INDEX('5_bezr. na wsi'!B3:G28,MATCH(18,B4:B25,0),2)</f>
        <v>3030</v>
      </c>
      <c r="E21" s="61">
        <f>INDEX('5_bezr. na wsi'!B3:G28,MATCH(18,B4:B25,0),3)</f>
        <v>3126</v>
      </c>
      <c r="F21" s="6">
        <f>INDEX('5_bezr. na wsi'!B3:G28,MATCH(18,B4:B25,0),4)</f>
        <v>-96</v>
      </c>
      <c r="G21" s="61">
        <f>INDEX('5_bezr. na wsi'!B3:G28,MATCH(18,B4:B25,0),5)</f>
        <v>3540</v>
      </c>
      <c r="H21" s="6">
        <f>INDEX('5_bezr. na wsi'!B3:G28,MATCH(18,B4:B25,0),6)</f>
        <v>-510</v>
      </c>
    </row>
    <row r="22" spans="1:8" x14ac:dyDescent="0.2">
      <c r="A22" s="3">
        <v>19</v>
      </c>
      <c r="B22" s="6">
        <f>RANK('5_bezr. na wsi'!C21,'5_bezr. na wsi'!$C$3:'5_bezr. na wsi'!$C$28,1)+COUNTIF('5_bezr. na wsi'!$C$3:'5_bezr. na wsi'!C21,'5_bezr. na wsi'!C21)-1</f>
        <v>2</v>
      </c>
      <c r="C22" s="5" t="str">
        <f>INDEX('5_bezr. na wsi'!B3:G28,MATCH(19,B4:B25,0),1)</f>
        <v>jasielski</v>
      </c>
      <c r="D22" s="6">
        <f>INDEX('5_bezr. na wsi'!B3:G28,MATCH(19,B4:B25,0),2)</f>
        <v>3607</v>
      </c>
      <c r="E22" s="61">
        <f>INDEX('5_bezr. na wsi'!B3:G28,MATCH(19,B4:B25,0),3)</f>
        <v>3664</v>
      </c>
      <c r="F22" s="6">
        <f>INDEX('5_bezr. na wsi'!B3:G28,MATCH(19,B4:B25,0),4)</f>
        <v>-57</v>
      </c>
      <c r="G22" s="61">
        <f>INDEX('5_bezr. na wsi'!B3:G28,MATCH(19,B4:B25,0),5)</f>
        <v>3735</v>
      </c>
      <c r="H22" s="6">
        <f>INDEX('5_bezr. na wsi'!B3:G28,MATCH(19,B4:B25,0),6)</f>
        <v>-128</v>
      </c>
    </row>
    <row r="23" spans="1:8" x14ac:dyDescent="0.2">
      <c r="A23" s="3">
        <v>20</v>
      </c>
      <c r="B23" s="6">
        <f>RANK('5_bezr. na wsi'!C22,'5_bezr. na wsi'!$C$3:'5_bezr. na wsi'!$C$28,1)+COUNTIF('5_bezr. na wsi'!$C$3:'5_bezr. na wsi'!C22,'5_bezr. na wsi'!C22)-1</f>
        <v>17</v>
      </c>
      <c r="C23" s="5" t="str">
        <f>INDEX('5_bezr. na wsi'!B3:G28,MATCH(20,B4:B25,0),1)</f>
        <v>brzozowski</v>
      </c>
      <c r="D23" s="6">
        <f>INDEX('5_bezr. na wsi'!B3:G28,MATCH(20,B4:B25,0),2)</f>
        <v>3652</v>
      </c>
      <c r="E23" s="61">
        <f>INDEX('5_bezr. na wsi'!B3:G28,MATCH(20,B4:B25,0),3)</f>
        <v>3792</v>
      </c>
      <c r="F23" s="6">
        <f>INDEX('5_bezr. na wsi'!B3:G28,MATCH(20,B4:B25,0),4)</f>
        <v>-140</v>
      </c>
      <c r="G23" s="61">
        <f>INDEX('5_bezr. na wsi'!B3:G28,MATCH(20,B4:B25,0),5)</f>
        <v>3841</v>
      </c>
      <c r="H23" s="6">
        <f>INDEX('5_bezr. na wsi'!B3:G28,MATCH(20,B4:B25,0),6)</f>
        <v>-189</v>
      </c>
    </row>
    <row r="24" spans="1:8" x14ac:dyDescent="0.2">
      <c r="A24" s="3">
        <v>21</v>
      </c>
      <c r="B24" s="6">
        <f>RANK('5_bezr. na wsi'!C23,'5_bezr. na wsi'!$C$3:'5_bezr. na wsi'!$C$28,1)+COUNTIF('5_bezr. na wsi'!$C$3:'5_bezr. na wsi'!C23,'5_bezr. na wsi'!C23)-1</f>
        <v>3</v>
      </c>
      <c r="C24" s="5" t="str">
        <f>INDEX('5_bezr. na wsi'!B3:G28,MATCH(21,B4:B25,0),1)</f>
        <v>rzeszowski</v>
      </c>
      <c r="D24" s="6">
        <f>INDEX('5_bezr. na wsi'!B3:G28,MATCH(21,B4:B25,0),2)</f>
        <v>3878</v>
      </c>
      <c r="E24" s="61">
        <f>INDEX('5_bezr. na wsi'!B3:G28,MATCH(21,B4:B25,0),3)</f>
        <v>4049</v>
      </c>
      <c r="F24" s="6">
        <f>INDEX('5_bezr. na wsi'!B3:G28,MATCH(21,B4:B25,0),4)</f>
        <v>-171</v>
      </c>
      <c r="G24" s="61">
        <f>INDEX('5_bezr. na wsi'!B3:G28,MATCH(21,B4:B25,0),5)</f>
        <v>4396</v>
      </c>
      <c r="H24" s="6">
        <f>INDEX('5_bezr. na wsi'!B3:G28,MATCH(21,B4:B25,0),6)</f>
        <v>-518</v>
      </c>
    </row>
    <row r="25" spans="1:8" ht="15" x14ac:dyDescent="0.25">
      <c r="A25" s="3">
        <v>22</v>
      </c>
      <c r="B25" s="59">
        <f>RANK('5_bezr. na wsi'!C24,'5_bezr. na wsi'!$C$3:'5_bezr. na wsi'!$C$28,1)+COUNTIF('5_bezr. na wsi'!$C$3:'5_bezr. na wsi'!C24,'5_bezr. na wsi'!C24)-1</f>
        <v>22</v>
      </c>
      <c r="C25" s="78" t="str">
        <f>INDEX('5_bezr. na wsi'!B3:G28,MATCH(22,B4:B25,0),1)</f>
        <v>województwo</v>
      </c>
      <c r="D25" s="59">
        <f>INDEX('5_bezr. na wsi'!B3:G28,MATCH(22,B4:B25,0),2)</f>
        <v>44445</v>
      </c>
      <c r="E25" s="63">
        <f>INDEX('5_bezr. na wsi'!B3:G28,MATCH(22,B4:B25,0),3)</f>
        <v>45826</v>
      </c>
      <c r="F25" s="59">
        <f>INDEX('5_bezr. na wsi'!B3:G28,MATCH(22,B4:B25,0),4)</f>
        <v>-1381</v>
      </c>
      <c r="G25" s="63">
        <f>INDEX('5_bezr. na wsi'!B3:G28,MATCH(22,B4:B25,0),5)</f>
        <v>47963</v>
      </c>
      <c r="H25" s="59">
        <f>INDEX('5_bezr. na wsi'!B3:G28,MATCH(22,B4:B25,0),6)</f>
        <v>-3518</v>
      </c>
    </row>
  </sheetData>
  <pageMargins left="0" right="0" top="0.31496062992125984" bottom="0" header="0" footer="0"/>
  <pageSetup paperSize="9" scale="7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9.140625" style="3" customWidth="1"/>
    <col min="4" max="4" width="18.7109375" style="3" customWidth="1"/>
    <col min="5" max="5" width="17.5703125" style="3" customWidth="1"/>
    <col min="6" max="6" width="19.28515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42"/>
      <c r="D1" s="42"/>
      <c r="E1" s="42"/>
      <c r="F1" s="42"/>
      <c r="G1" s="42"/>
    </row>
    <row r="2" spans="2:8" ht="57" x14ac:dyDescent="0.2">
      <c r="B2" s="55" t="s">
        <v>27</v>
      </c>
      <c r="C2" s="56" t="s">
        <v>123</v>
      </c>
      <c r="D2" s="57" t="s">
        <v>107</v>
      </c>
      <c r="E2" s="56" t="s">
        <v>28</v>
      </c>
      <c r="F2" s="57" t="s">
        <v>122</v>
      </c>
      <c r="G2" s="56" t="s">
        <v>26</v>
      </c>
    </row>
    <row r="3" spans="2:8" x14ac:dyDescent="0.2">
      <c r="B3" s="5" t="s">
        <v>0</v>
      </c>
      <c r="C3" s="6">
        <v>662</v>
      </c>
      <c r="D3" s="61">
        <v>661</v>
      </c>
      <c r="E3" s="6">
        <f t="shared" ref="E3:E27" si="0">SUM(C3)-D3</f>
        <v>1</v>
      </c>
      <c r="F3" s="61">
        <v>716</v>
      </c>
      <c r="G3" s="6">
        <f t="shared" ref="G3:G27" si="1">SUM(C3)-F3</f>
        <v>-54</v>
      </c>
      <c r="H3" s="7"/>
    </row>
    <row r="4" spans="2:8" x14ac:dyDescent="0.2">
      <c r="B4" s="5" t="s">
        <v>1</v>
      </c>
      <c r="C4" s="6">
        <v>2584</v>
      </c>
      <c r="D4" s="61">
        <v>2642</v>
      </c>
      <c r="E4" s="6">
        <f t="shared" si="0"/>
        <v>-58</v>
      </c>
      <c r="F4" s="61">
        <v>2702</v>
      </c>
      <c r="G4" s="6">
        <f t="shared" si="1"/>
        <v>-118</v>
      </c>
      <c r="H4" s="7"/>
    </row>
    <row r="5" spans="2:8" x14ac:dyDescent="0.2">
      <c r="B5" s="5" t="s">
        <v>2</v>
      </c>
      <c r="C5" s="6">
        <v>1045</v>
      </c>
      <c r="D5" s="61">
        <v>1051</v>
      </c>
      <c r="E5" s="6">
        <f t="shared" si="0"/>
        <v>-6</v>
      </c>
      <c r="F5" s="61">
        <v>1318</v>
      </c>
      <c r="G5" s="6">
        <f t="shared" si="1"/>
        <v>-273</v>
      </c>
      <c r="H5" s="7"/>
    </row>
    <row r="6" spans="2:8" x14ac:dyDescent="0.2">
      <c r="B6" s="5" t="s">
        <v>3</v>
      </c>
      <c r="C6" s="6">
        <v>2734</v>
      </c>
      <c r="D6" s="61">
        <v>2825</v>
      </c>
      <c r="E6" s="6">
        <f t="shared" si="0"/>
        <v>-91</v>
      </c>
      <c r="F6" s="61">
        <v>3248</v>
      </c>
      <c r="G6" s="6">
        <f t="shared" si="1"/>
        <v>-514</v>
      </c>
      <c r="H6" s="7"/>
    </row>
    <row r="7" spans="2:8" x14ac:dyDescent="0.2">
      <c r="B7" s="5" t="s">
        <v>4</v>
      </c>
      <c r="C7" s="6">
        <v>3064</v>
      </c>
      <c r="D7" s="61">
        <v>3100</v>
      </c>
      <c r="E7" s="6">
        <f t="shared" si="0"/>
        <v>-36</v>
      </c>
      <c r="F7" s="61">
        <v>3483</v>
      </c>
      <c r="G7" s="6">
        <f t="shared" si="1"/>
        <v>-419</v>
      </c>
      <c r="H7" s="7"/>
    </row>
    <row r="8" spans="2:8" x14ac:dyDescent="0.2">
      <c r="B8" s="5" t="s">
        <v>5</v>
      </c>
      <c r="C8" s="6">
        <v>828</v>
      </c>
      <c r="D8" s="61">
        <v>833</v>
      </c>
      <c r="E8" s="6">
        <f t="shared" si="0"/>
        <v>-5</v>
      </c>
      <c r="F8" s="61">
        <v>925</v>
      </c>
      <c r="G8" s="6">
        <f t="shared" si="1"/>
        <v>-97</v>
      </c>
      <c r="H8" s="7"/>
    </row>
    <row r="9" spans="2:8" x14ac:dyDescent="0.2">
      <c r="B9" s="9" t="s">
        <v>6</v>
      </c>
      <c r="C9" s="6">
        <v>991</v>
      </c>
      <c r="D9" s="61">
        <v>988</v>
      </c>
      <c r="E9" s="6">
        <f t="shared" si="0"/>
        <v>3</v>
      </c>
      <c r="F9" s="61">
        <v>1034</v>
      </c>
      <c r="G9" s="6">
        <f t="shared" si="1"/>
        <v>-43</v>
      </c>
      <c r="H9" s="7"/>
    </row>
    <row r="10" spans="2:8" x14ac:dyDescent="0.2">
      <c r="B10" s="5" t="s">
        <v>7</v>
      </c>
      <c r="C10" s="6">
        <v>1111</v>
      </c>
      <c r="D10" s="61">
        <v>1106</v>
      </c>
      <c r="E10" s="6">
        <f t="shared" si="0"/>
        <v>5</v>
      </c>
      <c r="F10" s="61">
        <v>1088</v>
      </c>
      <c r="G10" s="6">
        <f t="shared" si="1"/>
        <v>23</v>
      </c>
      <c r="H10" s="7"/>
    </row>
    <row r="11" spans="2:8" x14ac:dyDescent="0.2">
      <c r="B11" s="5" t="s">
        <v>8</v>
      </c>
      <c r="C11" s="6">
        <v>1918</v>
      </c>
      <c r="D11" s="61">
        <v>1979</v>
      </c>
      <c r="E11" s="6">
        <f t="shared" si="0"/>
        <v>-61</v>
      </c>
      <c r="F11" s="61">
        <v>2255</v>
      </c>
      <c r="G11" s="6">
        <f t="shared" si="1"/>
        <v>-337</v>
      </c>
      <c r="H11" s="7"/>
    </row>
    <row r="12" spans="2:8" x14ac:dyDescent="0.2">
      <c r="B12" s="5" t="s">
        <v>9</v>
      </c>
      <c r="C12" s="6">
        <v>970</v>
      </c>
      <c r="D12" s="61">
        <v>1004</v>
      </c>
      <c r="E12" s="6">
        <f t="shared" si="0"/>
        <v>-34</v>
      </c>
      <c r="F12" s="61">
        <v>1125</v>
      </c>
      <c r="G12" s="6">
        <f t="shared" si="1"/>
        <v>-155</v>
      </c>
      <c r="H12" s="7"/>
    </row>
    <row r="13" spans="2:8" x14ac:dyDescent="0.2">
      <c r="B13" s="5" t="s">
        <v>10</v>
      </c>
      <c r="C13" s="6">
        <v>1380</v>
      </c>
      <c r="D13" s="61">
        <v>1424</v>
      </c>
      <c r="E13" s="6">
        <f t="shared" si="0"/>
        <v>-44</v>
      </c>
      <c r="F13" s="61">
        <v>1929</v>
      </c>
      <c r="G13" s="6">
        <f t="shared" si="1"/>
        <v>-549</v>
      </c>
      <c r="H13" s="7"/>
    </row>
    <row r="14" spans="2:8" x14ac:dyDescent="0.2">
      <c r="B14" s="5" t="s">
        <v>11</v>
      </c>
      <c r="C14" s="6">
        <v>1232</v>
      </c>
      <c r="D14" s="61">
        <v>1242</v>
      </c>
      <c r="E14" s="6">
        <f t="shared" si="0"/>
        <v>-10</v>
      </c>
      <c r="F14" s="61">
        <v>1396</v>
      </c>
      <c r="G14" s="6">
        <f t="shared" si="1"/>
        <v>-164</v>
      </c>
      <c r="H14" s="7"/>
    </row>
    <row r="15" spans="2:8" x14ac:dyDescent="0.2">
      <c r="B15" s="5" t="s">
        <v>12</v>
      </c>
      <c r="C15" s="6">
        <v>1797</v>
      </c>
      <c r="D15" s="61">
        <v>1820</v>
      </c>
      <c r="E15" s="6">
        <f t="shared" si="0"/>
        <v>-23</v>
      </c>
      <c r="F15" s="61">
        <v>2061</v>
      </c>
      <c r="G15" s="6">
        <f t="shared" si="1"/>
        <v>-264</v>
      </c>
      <c r="H15" s="7"/>
    </row>
    <row r="16" spans="2:8" x14ac:dyDescent="0.2">
      <c r="B16" s="5" t="s">
        <v>13</v>
      </c>
      <c r="C16" s="6">
        <v>1877</v>
      </c>
      <c r="D16" s="61">
        <v>1926</v>
      </c>
      <c r="E16" s="6">
        <f t="shared" si="0"/>
        <v>-49</v>
      </c>
      <c r="F16" s="61">
        <v>2226</v>
      </c>
      <c r="G16" s="6">
        <f t="shared" si="1"/>
        <v>-349</v>
      </c>
      <c r="H16" s="7"/>
    </row>
    <row r="17" spans="2:8" x14ac:dyDescent="0.2">
      <c r="B17" s="5" t="s">
        <v>14</v>
      </c>
      <c r="C17" s="6">
        <v>2209</v>
      </c>
      <c r="D17" s="61">
        <v>2207</v>
      </c>
      <c r="E17" s="6">
        <f t="shared" si="0"/>
        <v>2</v>
      </c>
      <c r="F17" s="61">
        <v>2377</v>
      </c>
      <c r="G17" s="6">
        <f t="shared" si="1"/>
        <v>-168</v>
      </c>
      <c r="H17" s="7"/>
    </row>
    <row r="18" spans="2:8" x14ac:dyDescent="0.2">
      <c r="B18" s="5" t="s">
        <v>15</v>
      </c>
      <c r="C18" s="6">
        <v>1512</v>
      </c>
      <c r="D18" s="61">
        <v>1536</v>
      </c>
      <c r="E18" s="6">
        <f t="shared" si="0"/>
        <v>-24</v>
      </c>
      <c r="F18" s="61">
        <v>1921</v>
      </c>
      <c r="G18" s="6">
        <f t="shared" si="1"/>
        <v>-409</v>
      </c>
      <c r="H18" s="7"/>
    </row>
    <row r="19" spans="2:8" x14ac:dyDescent="0.2">
      <c r="B19" s="5" t="s">
        <v>16</v>
      </c>
      <c r="C19" s="6">
        <v>2909</v>
      </c>
      <c r="D19" s="61">
        <v>2954</v>
      </c>
      <c r="E19" s="6">
        <f t="shared" si="0"/>
        <v>-45</v>
      </c>
      <c r="F19" s="61">
        <v>3468</v>
      </c>
      <c r="G19" s="6">
        <f t="shared" si="1"/>
        <v>-559</v>
      </c>
      <c r="H19" s="7"/>
    </row>
    <row r="20" spans="2:8" x14ac:dyDescent="0.2">
      <c r="B20" s="5" t="s">
        <v>17</v>
      </c>
      <c r="C20" s="6">
        <v>1362</v>
      </c>
      <c r="D20" s="61">
        <v>1366</v>
      </c>
      <c r="E20" s="6">
        <f t="shared" si="0"/>
        <v>-4</v>
      </c>
      <c r="F20" s="61">
        <v>1337</v>
      </c>
      <c r="G20" s="6">
        <f t="shared" si="1"/>
        <v>25</v>
      </c>
      <c r="H20" s="7"/>
    </row>
    <row r="21" spans="2:8" x14ac:dyDescent="0.2">
      <c r="B21" s="5" t="s">
        <v>18</v>
      </c>
      <c r="C21" s="6">
        <v>814</v>
      </c>
      <c r="D21" s="61">
        <v>822</v>
      </c>
      <c r="E21" s="6">
        <f t="shared" si="0"/>
        <v>-8</v>
      </c>
      <c r="F21" s="61">
        <v>1009</v>
      </c>
      <c r="G21" s="6">
        <f t="shared" si="1"/>
        <v>-195</v>
      </c>
      <c r="H21" s="7"/>
    </row>
    <row r="22" spans="2:8" x14ac:dyDescent="0.2">
      <c r="B22" s="5" t="s">
        <v>19</v>
      </c>
      <c r="C22" s="6">
        <v>2042</v>
      </c>
      <c r="D22" s="61">
        <v>2087</v>
      </c>
      <c r="E22" s="6">
        <f t="shared" si="0"/>
        <v>-45</v>
      </c>
      <c r="F22" s="61">
        <v>2319</v>
      </c>
      <c r="G22" s="6">
        <f t="shared" si="1"/>
        <v>-277</v>
      </c>
      <c r="H22" s="7"/>
    </row>
    <row r="23" spans="2:8" x14ac:dyDescent="0.2">
      <c r="B23" s="5" t="s">
        <v>20</v>
      </c>
      <c r="C23" s="6">
        <v>694</v>
      </c>
      <c r="D23" s="61">
        <v>705</v>
      </c>
      <c r="E23" s="6">
        <f t="shared" si="0"/>
        <v>-11</v>
      </c>
      <c r="F23" s="61">
        <v>884</v>
      </c>
      <c r="G23" s="6">
        <f t="shared" si="1"/>
        <v>-190</v>
      </c>
      <c r="H23" s="7"/>
    </row>
    <row r="24" spans="2:8" x14ac:dyDescent="0.2">
      <c r="B24" s="5" t="s">
        <v>21</v>
      </c>
      <c r="C24" s="6">
        <v>309</v>
      </c>
      <c r="D24" s="61">
        <v>330</v>
      </c>
      <c r="E24" s="6">
        <f t="shared" si="0"/>
        <v>-21</v>
      </c>
      <c r="F24" s="61">
        <v>347</v>
      </c>
      <c r="G24" s="6">
        <f t="shared" si="1"/>
        <v>-38</v>
      </c>
      <c r="H24" s="7"/>
    </row>
    <row r="25" spans="2:8" x14ac:dyDescent="0.2">
      <c r="B25" s="5" t="s">
        <v>22</v>
      </c>
      <c r="C25" s="43">
        <v>1618</v>
      </c>
      <c r="D25" s="61">
        <v>1632</v>
      </c>
      <c r="E25" s="43">
        <f t="shared" si="0"/>
        <v>-14</v>
      </c>
      <c r="F25" s="61">
        <v>1936</v>
      </c>
      <c r="G25" s="6">
        <f t="shared" si="1"/>
        <v>-318</v>
      </c>
      <c r="H25" s="7"/>
    </row>
    <row r="26" spans="2:8" x14ac:dyDescent="0.2">
      <c r="B26" s="5" t="s">
        <v>23</v>
      </c>
      <c r="C26" s="43">
        <v>3346</v>
      </c>
      <c r="D26" s="61">
        <v>3369</v>
      </c>
      <c r="E26" s="43">
        <f t="shared" si="0"/>
        <v>-23</v>
      </c>
      <c r="F26" s="61">
        <v>4041</v>
      </c>
      <c r="G26" s="6">
        <f t="shared" si="1"/>
        <v>-695</v>
      </c>
      <c r="H26" s="7"/>
    </row>
    <row r="27" spans="2:8" x14ac:dyDescent="0.2">
      <c r="B27" s="5" t="s">
        <v>24</v>
      </c>
      <c r="C27" s="43">
        <v>593</v>
      </c>
      <c r="D27" s="61">
        <v>615</v>
      </c>
      <c r="E27" s="43">
        <f t="shared" si="0"/>
        <v>-22</v>
      </c>
      <c r="F27" s="61">
        <v>790</v>
      </c>
      <c r="G27" s="6">
        <f t="shared" si="1"/>
        <v>-197</v>
      </c>
      <c r="H27" s="7"/>
    </row>
    <row r="28" spans="2:8" ht="15" x14ac:dyDescent="0.25">
      <c r="B28" s="58" t="s">
        <v>25</v>
      </c>
      <c r="C28" s="59">
        <f>SUM(C3:C27)</f>
        <v>39601</v>
      </c>
      <c r="D28" s="60">
        <f>SUM(D3:D27)</f>
        <v>40224</v>
      </c>
      <c r="E28" s="59">
        <f>SUM(E3:E27)</f>
        <v>-623</v>
      </c>
      <c r="F28" s="60">
        <f>SUM(F3:F27)</f>
        <v>45935</v>
      </c>
      <c r="G28" s="59">
        <f>SUM(G3:G27)</f>
        <v>-6334</v>
      </c>
      <c r="H28" s="7"/>
    </row>
    <row r="29" spans="2:8" ht="15" x14ac:dyDescent="0.25">
      <c r="B29" s="3" t="s">
        <v>97</v>
      </c>
      <c r="E29" s="19"/>
      <c r="F29" s="7"/>
      <c r="G29" s="7"/>
    </row>
    <row r="30" spans="2:8" x14ac:dyDescent="0.2">
      <c r="B30" s="3" t="s">
        <v>98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7109375" style="3" customWidth="1"/>
    <col min="5" max="5" width="15" style="3" customWidth="1"/>
    <col min="6" max="6" width="16" style="3" customWidth="1"/>
    <col min="7" max="7" width="15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20"/>
      <c r="D2" s="21"/>
    </row>
    <row r="3" spans="2:8" ht="71.25" x14ac:dyDescent="0.2">
      <c r="B3" s="62" t="s">
        <v>88</v>
      </c>
      <c r="C3" s="55" t="str">
        <f>T('6_długot.'!B2)</f>
        <v>powiaty</v>
      </c>
      <c r="D3" s="55" t="str">
        <f>T('6_długot.'!C2)</f>
        <v>liczba bezrobotnych pow. 12 m-cy stan na 31 III '23 r.</v>
      </c>
      <c r="E3" s="55" t="str">
        <f>T('6_długot.'!D2)</f>
        <v>liczba bezrobotnych pow. 12 m-cy stan na 28 II '23 r.</v>
      </c>
      <c r="F3" s="55" t="str">
        <f>T('6_długot.'!E2)</f>
        <v>wzrost/spadek do poprzedniego  miesiąca</v>
      </c>
      <c r="G3" s="55" t="str">
        <f>T('6_długot.'!F2)</f>
        <v>liczba bezrobotnych pow. 12 m-cy,  stan na 31 III '22 r.</v>
      </c>
      <c r="H3" s="55" t="str">
        <f>T('6_długot.'!G2)</f>
        <v>wzrost/spadek do analogicznego okresu ubr.</v>
      </c>
    </row>
    <row r="4" spans="2:8" x14ac:dyDescent="0.2">
      <c r="B4" s="6">
        <f>RANK('6_długot.'!C3,'6_długot.'!$C$3:'6_długot.'!$C$28,1)+COUNTIF('6_długot.'!$C$3:'6_długot.'!C3,'6_długot.'!C3)-1</f>
        <v>3</v>
      </c>
      <c r="C4" s="5" t="str">
        <f>INDEX('6_długot.'!B3:G28,MATCH(1,B4:B29,0),1)</f>
        <v>Krosno</v>
      </c>
      <c r="D4" s="25">
        <f>INDEX('6_długot.'!B3:G28,MATCH(1,B4:B29,0),2)</f>
        <v>309</v>
      </c>
      <c r="E4" s="61">
        <f>INDEX('6_długot.'!B3:G28,MATCH(1,B4:B29,0),3)</f>
        <v>330</v>
      </c>
      <c r="F4" s="6">
        <f>INDEX('6_długot.'!B3:G28,MATCH(1,B4:B29,0),4)</f>
        <v>-21</v>
      </c>
      <c r="G4" s="61">
        <f>INDEX('6_długot.'!B3:G28,MATCH(1,B4:B29,0),5)</f>
        <v>347</v>
      </c>
      <c r="H4" s="6">
        <f>INDEX('6_długot.'!B3:G28,MATCH(1,B4:B29,0),6)</f>
        <v>-38</v>
      </c>
    </row>
    <row r="5" spans="2:8" x14ac:dyDescent="0.2">
      <c r="B5" s="6">
        <f>RANK('6_długot.'!C4,'6_długot.'!$C$3:'6_długot.'!$C$28,1)+COUNTIF('6_długot.'!$C$3:'6_długot.'!C4,'6_długot.'!C4)-1</f>
        <v>21</v>
      </c>
      <c r="C5" s="5" t="str">
        <f>INDEX('6_długot.'!B3:G28,MATCH(2,B4:B29,0),1)</f>
        <v>Tarnobrzeg</v>
      </c>
      <c r="D5" s="6">
        <f>INDEX('6_długot.'!B3:G28,MATCH(2,B4:B29,0),2)</f>
        <v>593</v>
      </c>
      <c r="E5" s="61">
        <f>INDEX('6_długot.'!B3:G28,MATCH(2,B4:B29,0),3)</f>
        <v>615</v>
      </c>
      <c r="F5" s="6">
        <f>INDEX('6_długot.'!B3:G28,MATCH(2,B4:B29,0),4)</f>
        <v>-22</v>
      </c>
      <c r="G5" s="61">
        <f>INDEX('6_długot.'!B3:G28,MATCH(2,B4:B29,0),5)</f>
        <v>790</v>
      </c>
      <c r="H5" s="6">
        <f>INDEX('6_długot.'!B3:G28,MATCH(2,B4:B29,0),6)</f>
        <v>-197</v>
      </c>
    </row>
    <row r="6" spans="2:8" x14ac:dyDescent="0.2">
      <c r="B6" s="6">
        <f>RANK('6_długot.'!C5,'6_długot.'!$C$3:'6_długot.'!$C$28,1)+COUNTIF('6_długot.'!$C$3:'6_długot.'!C5,'6_długot.'!C5)-1</f>
        <v>9</v>
      </c>
      <c r="C6" s="5" t="str">
        <f>INDEX('6_długot.'!B3:G28,MATCH(3,B4:B29,0),1)</f>
        <v>bieszczadzki</v>
      </c>
      <c r="D6" s="6">
        <f>INDEX('6_długot.'!B3:G28,MATCH(3,B4:B29,0),2)</f>
        <v>662</v>
      </c>
      <c r="E6" s="61">
        <f>INDEX('6_długot.'!B3:G28,MATCH(3,B4:B29,0),3)</f>
        <v>661</v>
      </c>
      <c r="F6" s="6">
        <f>INDEX('6_długot.'!B3:G28,MATCH(3,B4:B29,0),4)</f>
        <v>1</v>
      </c>
      <c r="G6" s="61">
        <f>INDEX('6_długot.'!B3:G28,MATCH(3,B4:B29,0),5)</f>
        <v>716</v>
      </c>
      <c r="H6" s="6">
        <f>INDEX('6_długot.'!B3:G28,MATCH(3,B4:B29,0),6)</f>
        <v>-54</v>
      </c>
    </row>
    <row r="7" spans="2:8" x14ac:dyDescent="0.2">
      <c r="B7" s="6">
        <f>RANK('6_długot.'!C6,'6_długot.'!$C$3:'6_długot.'!$C$28,1)+COUNTIF('6_długot.'!$C$3:'6_długot.'!C6,'6_długot.'!C6)-1</f>
        <v>22</v>
      </c>
      <c r="C7" s="5" t="str">
        <f>INDEX('6_długot.'!B3:G28,MATCH(4,B4:B29,0),1)</f>
        <v xml:space="preserve">tarnobrzeski </v>
      </c>
      <c r="D7" s="6">
        <f>INDEX('6_długot.'!B3:G28,MATCH(4,B4:B29,0),2)</f>
        <v>694</v>
      </c>
      <c r="E7" s="61">
        <f>INDEX('6_długot.'!B3:G28,MATCH(4,B4:B29,0),3)</f>
        <v>705</v>
      </c>
      <c r="F7" s="6">
        <f>INDEX('6_długot.'!B3:G28,MATCH(4,B4:B29,0),4)</f>
        <v>-11</v>
      </c>
      <c r="G7" s="61">
        <f>INDEX('6_długot.'!B3:G28,MATCH(4,B4:B29,0),5)</f>
        <v>884</v>
      </c>
      <c r="H7" s="6">
        <f>INDEX('6_długot.'!B3:G28,MATCH(4,B4:B29,0),6)</f>
        <v>-190</v>
      </c>
    </row>
    <row r="8" spans="2:8" x14ac:dyDescent="0.2">
      <c r="B8" s="6">
        <f>RANK('6_długot.'!C7,'6_długot.'!$C$3:'6_długot.'!$C$28,1)+COUNTIF('6_długot.'!$C$3:'6_długot.'!C7,'6_długot.'!C7)-1</f>
        <v>24</v>
      </c>
      <c r="C8" s="5" t="str">
        <f>INDEX('6_długot.'!B3:G28,MATCH(5,B4:B29,0),1)</f>
        <v>stalowowolski</v>
      </c>
      <c r="D8" s="6">
        <f>INDEX('6_długot.'!B3:G28,MATCH(5,B4:B29,0),2)</f>
        <v>814</v>
      </c>
      <c r="E8" s="61">
        <f>INDEX('6_długot.'!B3:G28,MATCH(5,B4:B29,0),3)</f>
        <v>822</v>
      </c>
      <c r="F8" s="6">
        <f>INDEX('6_długot.'!B3:G28,MATCH(5,B4:B29,0),4)</f>
        <v>-8</v>
      </c>
      <c r="G8" s="61">
        <f>INDEX('6_długot.'!B3:G28,MATCH(5,B4:B29,0),5)</f>
        <v>1009</v>
      </c>
      <c r="H8" s="6">
        <f>INDEX('6_długot.'!B3:G28,MATCH(5,B4:B29,0),6)</f>
        <v>-195</v>
      </c>
    </row>
    <row r="9" spans="2:8" x14ac:dyDescent="0.2">
      <c r="B9" s="6">
        <f>RANK('6_długot.'!C8,'6_długot.'!$C$3:'6_długot.'!$C$28,1)+COUNTIF('6_długot.'!$C$3:'6_długot.'!C8,'6_długot.'!C8)-1</f>
        <v>6</v>
      </c>
      <c r="C9" s="5" t="str">
        <f>INDEX('6_długot.'!B3:G28,MATCH(6,B4:B29,0),1)</f>
        <v>kolbuszowski</v>
      </c>
      <c r="D9" s="6">
        <f>INDEX('6_długot.'!B3:G28,MATCH(6,B4:B29,0),2)</f>
        <v>828</v>
      </c>
      <c r="E9" s="61">
        <f>INDEX('6_długot.'!B3:G28,MATCH(6,B4:B29,0),3)</f>
        <v>833</v>
      </c>
      <c r="F9" s="6">
        <f>INDEX('6_długot.'!B3:G28,MATCH(6,B4:B29,0),4)</f>
        <v>-5</v>
      </c>
      <c r="G9" s="61">
        <f>INDEX('6_długot.'!B3:G28,MATCH(6,B4:B29,0),5)</f>
        <v>925</v>
      </c>
      <c r="H9" s="6">
        <f>INDEX('6_długot.'!B3:G28,MATCH(6,B4:B29,0),6)</f>
        <v>-97</v>
      </c>
    </row>
    <row r="10" spans="2:8" x14ac:dyDescent="0.2">
      <c r="B10" s="6">
        <f>RANK('6_długot.'!C9,'6_długot.'!$C$3:'6_długot.'!$C$28,1)+COUNTIF('6_długot.'!$C$3:'6_długot.'!C9,'6_długot.'!C9)-1</f>
        <v>8</v>
      </c>
      <c r="C10" s="9" t="str">
        <f>INDEX('6_długot.'!B3:G28,MATCH(7,B4:B29,0),1)</f>
        <v>lubaczowski</v>
      </c>
      <c r="D10" s="6">
        <f>INDEX('6_długot.'!B3:G28,MATCH(7,B4:B29,0),2)</f>
        <v>970</v>
      </c>
      <c r="E10" s="61">
        <f>INDEX('6_długot.'!B3:G28,MATCH(7,B4:B29,0),3)</f>
        <v>1004</v>
      </c>
      <c r="F10" s="6">
        <f>INDEX('6_długot.'!B3:G28,MATCH(7,B4:B29,0),4)</f>
        <v>-34</v>
      </c>
      <c r="G10" s="61">
        <f>INDEX('6_długot.'!B3:G28,MATCH(7,B4:B29,0),5)</f>
        <v>1125</v>
      </c>
      <c r="H10" s="6">
        <f>INDEX('6_długot.'!B3:G28,MATCH(7,B4:B29,0),6)</f>
        <v>-155</v>
      </c>
    </row>
    <row r="11" spans="2:8" x14ac:dyDescent="0.2">
      <c r="B11" s="6">
        <f>RANK('6_długot.'!C10,'6_długot.'!$C$3:'6_długot.'!$C$28,1)+COUNTIF('6_długot.'!$C$3:'6_długot.'!C10,'6_długot.'!C10)-1</f>
        <v>10</v>
      </c>
      <c r="C11" s="5" t="str">
        <f>INDEX('6_długot.'!B3:G28,MATCH(8,B4:B29,0),1)</f>
        <v>krośnieński</v>
      </c>
      <c r="D11" s="6">
        <f>INDEX('6_długot.'!B3:G28,MATCH(8,B4:B29,0),2)</f>
        <v>991</v>
      </c>
      <c r="E11" s="61">
        <f>INDEX('6_długot.'!B3:G28,MATCH(8,B4:B29,0),3)</f>
        <v>988</v>
      </c>
      <c r="F11" s="6">
        <f>INDEX('6_długot.'!B3:G28,MATCH(8,B4:B29,0),4)</f>
        <v>3</v>
      </c>
      <c r="G11" s="61">
        <f>INDEX('6_długot.'!B3:G28,MATCH(8,B4:B29,0),5)</f>
        <v>1034</v>
      </c>
      <c r="H11" s="6">
        <f>INDEX('6_długot.'!B3:G28,MATCH(8,B4:B29,0),6)</f>
        <v>-43</v>
      </c>
    </row>
    <row r="12" spans="2:8" x14ac:dyDescent="0.2">
      <c r="B12" s="6">
        <f>RANK('6_długot.'!C11,'6_długot.'!$C$3:'6_długot.'!$C$28,1)+COUNTIF('6_długot.'!$C$3:'6_długot.'!C11,'6_długot.'!C11)-1</f>
        <v>18</v>
      </c>
      <c r="C12" s="5" t="str">
        <f>INDEX('6_długot.'!B3:G28,MATCH(9,B4:B29,0),1)</f>
        <v>dębicki</v>
      </c>
      <c r="D12" s="6">
        <f>INDEX('6_długot.'!B3:G28,MATCH(9,B4:B29,0),2)</f>
        <v>1045</v>
      </c>
      <c r="E12" s="61">
        <f>INDEX('6_długot.'!B3:G28,MATCH(9,B4:B29,0),3)</f>
        <v>1051</v>
      </c>
      <c r="F12" s="6">
        <f>INDEX('6_długot.'!B3:G28,MATCH(9,B4:B29,0),4)</f>
        <v>-6</v>
      </c>
      <c r="G12" s="61">
        <f>INDEX('6_długot.'!B3:G28,MATCH(9,B4:B29,0),5)</f>
        <v>1318</v>
      </c>
      <c r="H12" s="6">
        <f>INDEX('6_długot.'!B3:G28,MATCH(9,B4:B29,0),6)</f>
        <v>-273</v>
      </c>
    </row>
    <row r="13" spans="2:8" x14ac:dyDescent="0.2">
      <c r="B13" s="6">
        <f>RANK('6_długot.'!C12,'6_długot.'!$C$3:'6_długot.'!$C$28,1)+COUNTIF('6_długot.'!$C$3:'6_długot.'!C12,'6_długot.'!C12)-1</f>
        <v>7</v>
      </c>
      <c r="C13" s="5" t="str">
        <f>INDEX('6_długot.'!B3:G28,MATCH(10,B4:B29,0),1)</f>
        <v>leski</v>
      </c>
      <c r="D13" s="6">
        <f>INDEX('6_długot.'!B3:G28,MATCH(10,B4:B29,0),2)</f>
        <v>1111</v>
      </c>
      <c r="E13" s="61">
        <f>INDEX('6_długot.'!B3:G28,MATCH(10,B4:B29,0),3)</f>
        <v>1106</v>
      </c>
      <c r="F13" s="6">
        <f>INDEX('6_długot.'!B3:G28,MATCH(10,B4:B29,0),4)</f>
        <v>5</v>
      </c>
      <c r="G13" s="61">
        <f>INDEX('6_długot.'!B3:G28,MATCH(10,B4:B29,0),5)</f>
        <v>1088</v>
      </c>
      <c r="H13" s="6">
        <f>INDEX('6_długot.'!B3:G28,MATCH(10,B4:B29,0),6)</f>
        <v>23</v>
      </c>
    </row>
    <row r="14" spans="2:8" x14ac:dyDescent="0.2">
      <c r="B14" s="6">
        <f>RANK('6_długot.'!C13,'6_długot.'!$C$3:'6_długot.'!$C$28,1)+COUNTIF('6_długot.'!$C$3:'6_długot.'!C13,'6_długot.'!C13)-1</f>
        <v>13</v>
      </c>
      <c r="C14" s="5" t="str">
        <f>INDEX('6_długot.'!B3:G28,MATCH(11,B4:B29,0),1)</f>
        <v>mielecki</v>
      </c>
      <c r="D14" s="6">
        <f>INDEX('6_długot.'!B3:G28,MATCH(11,B4:B29,0),2)</f>
        <v>1232</v>
      </c>
      <c r="E14" s="61">
        <f>INDEX('6_długot.'!B3:G28,MATCH(11,B4:B29,0),3)</f>
        <v>1242</v>
      </c>
      <c r="F14" s="6">
        <f>INDEX('6_długot.'!B3:G28,MATCH(11,B4:B29,0),4)</f>
        <v>-10</v>
      </c>
      <c r="G14" s="61">
        <f>INDEX('6_długot.'!B3:G28,MATCH(11,B4:B29,0),5)</f>
        <v>1396</v>
      </c>
      <c r="H14" s="6">
        <f>INDEX('6_długot.'!B3:G28,MATCH(11,B4:B29,0),6)</f>
        <v>-164</v>
      </c>
    </row>
    <row r="15" spans="2:8" x14ac:dyDescent="0.2">
      <c r="B15" s="6">
        <f>RANK('6_długot.'!C14,'6_długot.'!$C$3:'6_długot.'!$C$28,1)+COUNTIF('6_długot.'!$C$3:'6_długot.'!C14,'6_długot.'!C14)-1</f>
        <v>11</v>
      </c>
      <c r="C15" s="5" t="str">
        <f>INDEX('6_długot.'!B3:G28,MATCH(12,B4:B29,0),1)</f>
        <v>sanocki</v>
      </c>
      <c r="D15" s="6">
        <f>INDEX('6_długot.'!B3:G28,MATCH(12,B4:B29,0),2)</f>
        <v>1362</v>
      </c>
      <c r="E15" s="61">
        <f>INDEX('6_długot.'!B3:G28,MATCH(12,B4:B29,0),3)</f>
        <v>1366</v>
      </c>
      <c r="F15" s="6">
        <f>INDEX('6_długot.'!B3:G28,MATCH(12,B4:B29,0),4)</f>
        <v>-4</v>
      </c>
      <c r="G15" s="61">
        <f>INDEX('6_długot.'!B3:G28,MATCH(12,B4:B29,0),5)</f>
        <v>1337</v>
      </c>
      <c r="H15" s="6">
        <f>INDEX('6_długot.'!B3:G28,MATCH(12,B4:B29,0),6)</f>
        <v>25</v>
      </c>
    </row>
    <row r="16" spans="2:8" x14ac:dyDescent="0.2">
      <c r="B16" s="6">
        <f>RANK('6_długot.'!C15,'6_długot.'!$C$3:'6_długot.'!$C$28,1)+COUNTIF('6_długot.'!$C$3:'6_długot.'!C15,'6_długot.'!C15)-1</f>
        <v>16</v>
      </c>
      <c r="C16" s="5" t="str">
        <f>INDEX('6_długot.'!B3:G28,MATCH(13,B4:B29,0),1)</f>
        <v>łańcucki</v>
      </c>
      <c r="D16" s="6">
        <f>INDEX('6_długot.'!B3:G28,MATCH(13,B4:B29,0),2)</f>
        <v>1380</v>
      </c>
      <c r="E16" s="61">
        <f>INDEX('6_długot.'!B3:G28,MATCH(13,B4:B29,0),3)</f>
        <v>1424</v>
      </c>
      <c r="F16" s="6">
        <f>INDEX('6_długot.'!B3:G28,MATCH(13,B4:B29,0),4)</f>
        <v>-44</v>
      </c>
      <c r="G16" s="61">
        <f>INDEX('6_długot.'!B3:G28,MATCH(13,B4:B29,0),5)</f>
        <v>1929</v>
      </c>
      <c r="H16" s="6">
        <f>INDEX('6_długot.'!B3:G28,MATCH(13,B4:B29,0),6)</f>
        <v>-549</v>
      </c>
    </row>
    <row r="17" spans="2:8" x14ac:dyDescent="0.2">
      <c r="B17" s="6">
        <f>RANK('6_długot.'!C16,'6_długot.'!$C$3:'6_długot.'!$C$28,1)+COUNTIF('6_długot.'!$C$3:'6_długot.'!C16,'6_długot.'!C16)-1</f>
        <v>17</v>
      </c>
      <c r="C17" s="5" t="str">
        <f>INDEX('6_długot.'!B3:G28,MATCH(14,B4:B29,0),1)</f>
        <v>ropczycko-sędziszowski</v>
      </c>
      <c r="D17" s="6">
        <f>INDEX('6_długot.'!B3:G28,MATCH(14,B4:B29,0),2)</f>
        <v>1512</v>
      </c>
      <c r="E17" s="61">
        <f>INDEX('6_długot.'!B3:G28,MATCH(14,B4:B29,0),3)</f>
        <v>1536</v>
      </c>
      <c r="F17" s="6">
        <f>INDEX('6_długot.'!B3:G28,MATCH(14,B4:B29,0),4)</f>
        <v>-24</v>
      </c>
      <c r="G17" s="61">
        <f>INDEX('6_długot.'!B3:G28,MATCH(14,B4:B29,0),5)</f>
        <v>1921</v>
      </c>
      <c r="H17" s="6">
        <f>INDEX('6_długot.'!B3:G28,MATCH(14,B4:B29,0),6)</f>
        <v>-409</v>
      </c>
    </row>
    <row r="18" spans="2:8" x14ac:dyDescent="0.2">
      <c r="B18" s="6">
        <f>RANK('6_długot.'!C17,'6_długot.'!$C$3:'6_długot.'!$C$28,1)+COUNTIF('6_długot.'!$C$3:'6_długot.'!C17,'6_długot.'!C17)-1</f>
        <v>20</v>
      </c>
      <c r="C18" s="5" t="str">
        <f>INDEX('6_długot.'!B3:G28,MATCH(15,B4:B29,0),1)</f>
        <v>Przemyśl</v>
      </c>
      <c r="D18" s="6">
        <f>INDEX('6_długot.'!B3:G28,MATCH(15,B4:B29,0),2)</f>
        <v>1618</v>
      </c>
      <c r="E18" s="61">
        <f>INDEX('6_długot.'!B3:G28,MATCH(15,B4:B29,0),3)</f>
        <v>1632</v>
      </c>
      <c r="F18" s="6">
        <f>INDEX('6_długot.'!B3:G28,MATCH(15,B4:B29,0),4)</f>
        <v>-14</v>
      </c>
      <c r="G18" s="61">
        <f>INDEX('6_długot.'!B3:G28,MATCH(15,B4:B29,0),5)</f>
        <v>1936</v>
      </c>
      <c r="H18" s="6">
        <f>INDEX('6_długot.'!B3:G28,MATCH(15,B4:B29,0),6)</f>
        <v>-318</v>
      </c>
    </row>
    <row r="19" spans="2:8" x14ac:dyDescent="0.2">
      <c r="B19" s="6">
        <f>RANK('6_długot.'!C18,'6_długot.'!$C$3:'6_długot.'!$C$28,1)+COUNTIF('6_długot.'!$C$3:'6_długot.'!C18,'6_długot.'!C18)-1</f>
        <v>14</v>
      </c>
      <c r="C19" s="5" t="str">
        <f>INDEX('6_długot.'!B3:G28,MATCH(16,B4:B29,0),1)</f>
        <v>niżański</v>
      </c>
      <c r="D19" s="6">
        <f>INDEX('6_długot.'!B3:G28,MATCH(16,B4:B29,0),2)</f>
        <v>1797</v>
      </c>
      <c r="E19" s="61">
        <f>INDEX('6_długot.'!B3:G28,MATCH(16,B4:B29,0),3)</f>
        <v>1820</v>
      </c>
      <c r="F19" s="6">
        <f>INDEX('6_długot.'!B3:G28,MATCH(16,B4:B29,0),4)</f>
        <v>-23</v>
      </c>
      <c r="G19" s="61">
        <f>INDEX('6_długot.'!B3:G28,MATCH(16,B4:B29,0),5)</f>
        <v>2061</v>
      </c>
      <c r="H19" s="6">
        <f>INDEX('6_długot.'!B3:G28,MATCH(16,B4:B29,0),6)</f>
        <v>-264</v>
      </c>
    </row>
    <row r="20" spans="2:8" x14ac:dyDescent="0.2">
      <c r="B20" s="6">
        <f>RANK('6_długot.'!C19,'6_długot.'!$C$3:'6_długot.'!$C$28,1)+COUNTIF('6_długot.'!$C$3:'6_długot.'!C19,'6_długot.'!C19)-1</f>
        <v>23</v>
      </c>
      <c r="C20" s="5" t="str">
        <f>INDEX('6_długot.'!B3:G28,MATCH(17,B4:B29,0),1)</f>
        <v>przemyski</v>
      </c>
      <c r="D20" s="6">
        <f>INDEX('6_długot.'!B3:G28,MATCH(17,B4:B29,0),2)</f>
        <v>1877</v>
      </c>
      <c r="E20" s="61">
        <f>INDEX('6_długot.'!B3:G28,MATCH(17,B4:B29,0),3)</f>
        <v>1926</v>
      </c>
      <c r="F20" s="6">
        <f>INDEX('6_długot.'!B3:G28,MATCH(17,B4:B29,0),4)</f>
        <v>-49</v>
      </c>
      <c r="G20" s="61">
        <f>INDEX('6_długot.'!B3:G28,MATCH(17,B4:B29,0),5)</f>
        <v>2226</v>
      </c>
      <c r="H20" s="6">
        <f>INDEX('6_długot.'!B3:G28,MATCH(17,B4:B29,0),6)</f>
        <v>-349</v>
      </c>
    </row>
    <row r="21" spans="2:8" x14ac:dyDescent="0.2">
      <c r="B21" s="6">
        <f>RANK('6_długot.'!C20,'6_długot.'!$C$3:'6_długot.'!$C$28,1)+COUNTIF('6_długot.'!$C$3:'6_długot.'!C20,'6_długot.'!C20)-1</f>
        <v>12</v>
      </c>
      <c r="C21" s="5" t="str">
        <f>INDEX('6_długot.'!B3:G28,MATCH(18,B4:B29,0),1)</f>
        <v>leżajski</v>
      </c>
      <c r="D21" s="6">
        <f>INDEX('6_długot.'!B3:G28,MATCH(18,B4:B29,0),2)</f>
        <v>1918</v>
      </c>
      <c r="E21" s="61">
        <f>INDEX('6_długot.'!B3:G28,MATCH(18,B4:B29,0),3)</f>
        <v>1979</v>
      </c>
      <c r="F21" s="6">
        <f>INDEX('6_długot.'!B3:G28,MATCH(18,B4:B29,0),4)</f>
        <v>-61</v>
      </c>
      <c r="G21" s="61">
        <f>INDEX('6_długot.'!B3:G28,MATCH(18,B4:B29,0),5)</f>
        <v>2255</v>
      </c>
      <c r="H21" s="6">
        <f>INDEX('6_długot.'!B3:G28,MATCH(18,B4:B29,0),6)</f>
        <v>-337</v>
      </c>
    </row>
    <row r="22" spans="2:8" x14ac:dyDescent="0.2">
      <c r="B22" s="6">
        <f>RANK('6_długot.'!C21,'6_długot.'!$C$3:'6_długot.'!$C$28,1)+COUNTIF('6_długot.'!$C$3:'6_długot.'!C21,'6_długot.'!C21)-1</f>
        <v>5</v>
      </c>
      <c r="C22" s="5" t="str">
        <f>INDEX('6_długot.'!B3:G28,MATCH(19,B4:B29,0),1)</f>
        <v>strzyżowski</v>
      </c>
      <c r="D22" s="6">
        <f>INDEX('6_długot.'!B3:G28,MATCH(19,B4:B29,0),2)</f>
        <v>2042</v>
      </c>
      <c r="E22" s="61">
        <f>INDEX('6_długot.'!B3:G28,MATCH(19,B4:B29,0),3)</f>
        <v>2087</v>
      </c>
      <c r="F22" s="6">
        <f>INDEX('6_długot.'!B3:G28,MATCH(19,B4:B29,0),4)</f>
        <v>-45</v>
      </c>
      <c r="G22" s="61">
        <f>INDEX('6_długot.'!B3:G28,MATCH(19,B4:B29,0),5)</f>
        <v>2319</v>
      </c>
      <c r="H22" s="6">
        <f>INDEX('6_długot.'!B3:G28,MATCH(19,B4:B29,0),6)</f>
        <v>-277</v>
      </c>
    </row>
    <row r="23" spans="2:8" x14ac:dyDescent="0.2">
      <c r="B23" s="6">
        <f>RANK('6_długot.'!C22,'6_długot.'!$C$3:'6_długot.'!$C$28,1)+COUNTIF('6_długot.'!$C$3:'6_długot.'!C22,'6_długot.'!C22)-1</f>
        <v>19</v>
      </c>
      <c r="C23" s="5" t="str">
        <f>INDEX('6_długot.'!B3:G28,MATCH(20,B4:B29,0),1)</f>
        <v>przeworski</v>
      </c>
      <c r="D23" s="6">
        <f>INDEX('6_długot.'!B3:G28,MATCH(20,B4:B29,0),2)</f>
        <v>2209</v>
      </c>
      <c r="E23" s="61">
        <f>INDEX('6_długot.'!B3:G28,MATCH(20,B4:B29,0),3)</f>
        <v>2207</v>
      </c>
      <c r="F23" s="6">
        <f>INDEX('6_długot.'!B3:G28,MATCH(20,B4:B29,0),4)</f>
        <v>2</v>
      </c>
      <c r="G23" s="61">
        <f>INDEX('6_długot.'!B3:G28,MATCH(20,B4:B29,0),5)</f>
        <v>2377</v>
      </c>
      <c r="H23" s="6">
        <f>INDEX('6_długot.'!B3:G28,MATCH(20,B4:B29,0),6)</f>
        <v>-168</v>
      </c>
    </row>
    <row r="24" spans="2:8" x14ac:dyDescent="0.2">
      <c r="B24" s="6">
        <f>RANK('6_długot.'!C23,'6_długot.'!$C$3:'6_długot.'!$C$28,1)+COUNTIF('6_długot.'!$C$3:'6_długot.'!C23,'6_długot.'!C23)-1</f>
        <v>4</v>
      </c>
      <c r="C24" s="5" t="str">
        <f>INDEX('6_długot.'!B3:G28,MATCH(21,B4:B29,0),1)</f>
        <v>brzozowski</v>
      </c>
      <c r="D24" s="6">
        <f>INDEX('6_długot.'!B3:G28,MATCH(21,B4:B29,0),2)</f>
        <v>2584</v>
      </c>
      <c r="E24" s="61">
        <f>INDEX('6_długot.'!B3:G28,MATCH(21,B4:B29,0),3)</f>
        <v>2642</v>
      </c>
      <c r="F24" s="6">
        <f>INDEX('6_długot.'!B3:G28,MATCH(21,B4:B29,0),4)</f>
        <v>-58</v>
      </c>
      <c r="G24" s="61">
        <f>INDEX('6_długot.'!B3:G28,MATCH(21,B4:B29,0),5)</f>
        <v>2702</v>
      </c>
      <c r="H24" s="6">
        <f>INDEX('6_długot.'!B3:G28,MATCH(21,B4:B29,0),6)</f>
        <v>-118</v>
      </c>
    </row>
    <row r="25" spans="2:8" x14ac:dyDescent="0.2">
      <c r="B25" s="6">
        <f>RANK('6_długot.'!C24,'6_długot.'!$C$3:'6_długot.'!$C$28,1)+COUNTIF('6_długot.'!$C$3:'6_długot.'!C24,'6_długot.'!C24)-1</f>
        <v>1</v>
      </c>
      <c r="C25" s="5" t="str">
        <f>INDEX('6_długot.'!B3:G28,MATCH(22,B4:B29,0),1)</f>
        <v>jarosławski</v>
      </c>
      <c r="D25" s="6">
        <f>INDEX('6_długot.'!B3:G28,MATCH(22,B4:B29,0),2)</f>
        <v>2734</v>
      </c>
      <c r="E25" s="61">
        <f>INDEX('6_długot.'!B3:G28,MATCH(22,B4:B29,0),3)</f>
        <v>2825</v>
      </c>
      <c r="F25" s="6">
        <f>INDEX('6_długot.'!B3:G28,MATCH(22,B4:B29,0),4)</f>
        <v>-91</v>
      </c>
      <c r="G25" s="61">
        <f>INDEX('6_długot.'!B3:G28,MATCH(22,B4:B29,0),5)</f>
        <v>3248</v>
      </c>
      <c r="H25" s="6">
        <f>INDEX('6_długot.'!B3:G28,MATCH(22,B4:B29,0),6)</f>
        <v>-514</v>
      </c>
    </row>
    <row r="26" spans="2:8" x14ac:dyDescent="0.2">
      <c r="B26" s="6">
        <f>RANK('6_długot.'!C25,'6_długot.'!$C$3:'6_długot.'!$C$28,1)+COUNTIF('6_długot.'!$C$3:'6_długot.'!C25,'6_długot.'!C25)-1</f>
        <v>15</v>
      </c>
      <c r="C26" s="5" t="str">
        <f>INDEX('6_długot.'!B3:G28,MATCH(23,B4:B29,0),1)</f>
        <v>rzeszowski</v>
      </c>
      <c r="D26" s="6">
        <f>INDEX('6_długot.'!B3:G28,MATCH(23,B4:B29,0),2)</f>
        <v>2909</v>
      </c>
      <c r="E26" s="61">
        <f>INDEX('6_długot.'!B3:G28,MATCH(23,B4:B29,0),3)</f>
        <v>2954</v>
      </c>
      <c r="F26" s="6">
        <f>INDEX('6_długot.'!B3:G28,MATCH(23,B4:B29,0),4)</f>
        <v>-45</v>
      </c>
      <c r="G26" s="61">
        <f>INDEX('6_długot.'!B3:G28,MATCH(23,B4:B29,0),5)</f>
        <v>3468</v>
      </c>
      <c r="H26" s="6">
        <f>INDEX('6_długot.'!B3:G28,MATCH(23,B4:B29,0),6)</f>
        <v>-559</v>
      </c>
    </row>
    <row r="27" spans="2:8" x14ac:dyDescent="0.2">
      <c r="B27" s="6">
        <f>RANK('6_długot.'!C26,'6_długot.'!$C$3:'6_długot.'!$C$28,1)+COUNTIF('6_długot.'!$C$3:'6_długot.'!C26,'6_długot.'!C26)-1</f>
        <v>25</v>
      </c>
      <c r="C27" s="5" t="str">
        <f>INDEX('6_długot.'!B3:G28,MATCH(24,B4:B29,0),1)</f>
        <v>jasielski</v>
      </c>
      <c r="D27" s="6">
        <f>INDEX('6_długot.'!B3:G28,MATCH(24,B4:B29,0),2)</f>
        <v>3064</v>
      </c>
      <c r="E27" s="61">
        <f>INDEX('6_długot.'!B3:G28,MATCH(24,B4:B29,0),3)</f>
        <v>3100</v>
      </c>
      <c r="F27" s="6">
        <f>INDEX('6_długot.'!B3:G28,MATCH(24,B4:B29,0),4)</f>
        <v>-36</v>
      </c>
      <c r="G27" s="61">
        <f>INDEX('6_długot.'!B3:G28,MATCH(24,B4:B29,0),5)</f>
        <v>3483</v>
      </c>
      <c r="H27" s="6">
        <f>INDEX('6_długot.'!B3:G28,MATCH(24,B4:B29,0),6)</f>
        <v>-419</v>
      </c>
    </row>
    <row r="28" spans="2:8" x14ac:dyDescent="0.2">
      <c r="B28" s="6">
        <f>RANK('6_długot.'!C27,'6_długot.'!$C$3:'6_długot.'!$C$28,1)+COUNTIF('6_długot.'!$C$3:'6_długot.'!C27,'6_długot.'!C27)-1</f>
        <v>2</v>
      </c>
      <c r="C28" s="5" t="str">
        <f>INDEX('6_długot.'!B3:G28,MATCH(25,B4:B29,0),1)</f>
        <v>Rzeszów</v>
      </c>
      <c r="D28" s="6">
        <f>INDEX('6_długot.'!B3:G28,MATCH(25,B4:B29,0),2)</f>
        <v>3346</v>
      </c>
      <c r="E28" s="61">
        <f>INDEX('6_długot.'!B3:G28,MATCH(25,B4:B29,0),3)</f>
        <v>3369</v>
      </c>
      <c r="F28" s="6">
        <f>INDEX('6_długot.'!B3:G28,MATCH(25,B4:B29,0),4)</f>
        <v>-23</v>
      </c>
      <c r="G28" s="61">
        <f>INDEX('6_długot.'!B3:G28,MATCH(25,B4:B29,0),5)</f>
        <v>4041</v>
      </c>
      <c r="H28" s="6">
        <f>INDEX('6_długot.'!B3:G28,MATCH(25,B4:B29,0),6)</f>
        <v>-695</v>
      </c>
    </row>
    <row r="29" spans="2:8" ht="15" x14ac:dyDescent="0.25">
      <c r="B29" s="59">
        <f>RANK('6_długot.'!C28,'6_długot.'!$C$3:'6_długot.'!$C$28,1)+COUNTIF('6_długot.'!$C$3:'6_długot.'!C28,'6_długot.'!C28)-1</f>
        <v>26</v>
      </c>
      <c r="C29" s="58" t="str">
        <f>INDEX('6_długot.'!B3:G28,MATCH(26,B4:B29,0),1)</f>
        <v>województwo</v>
      </c>
      <c r="D29" s="59">
        <f>INDEX('6_długot.'!B3:G28,MATCH(26,B4:B29,0),2)</f>
        <v>39601</v>
      </c>
      <c r="E29" s="63">
        <f>INDEX('6_długot.'!B3:G28,MATCH(26,B4:B29,0),3)</f>
        <v>40224</v>
      </c>
      <c r="F29" s="59">
        <f>INDEX('6_długot.'!B3:G28,MATCH(26,B4:B29,0),4)</f>
        <v>-623</v>
      </c>
      <c r="G29" s="63">
        <f>INDEX('6_długot.'!B3:G28,MATCH(26,B4:B29,0),5)</f>
        <v>45935</v>
      </c>
      <c r="H29" s="59">
        <f>INDEX('6_długot.'!B3:G28,MATCH(26,B4:B29,0),6)</f>
        <v>-6334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.42578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96</v>
      </c>
      <c r="C1" s="44"/>
      <c r="D1" s="44"/>
      <c r="E1" s="44"/>
      <c r="F1" s="44"/>
      <c r="G1" s="44"/>
    </row>
    <row r="2" spans="2:8" ht="57" x14ac:dyDescent="0.2">
      <c r="B2" s="55" t="s">
        <v>27</v>
      </c>
      <c r="C2" s="56" t="s">
        <v>125</v>
      </c>
      <c r="D2" s="57" t="s">
        <v>108</v>
      </c>
      <c r="E2" s="56" t="s">
        <v>28</v>
      </c>
      <c r="F2" s="57" t="s">
        <v>124</v>
      </c>
      <c r="G2" s="56" t="s">
        <v>26</v>
      </c>
    </row>
    <row r="3" spans="2:8" x14ac:dyDescent="0.2">
      <c r="B3" s="5" t="s">
        <v>0</v>
      </c>
      <c r="C3" s="45">
        <v>307</v>
      </c>
      <c r="D3" s="61">
        <v>321</v>
      </c>
      <c r="E3" s="45">
        <f t="shared" ref="E3:E27" si="0">SUM(C3)-D3</f>
        <v>-14</v>
      </c>
      <c r="F3" s="61">
        <v>325</v>
      </c>
      <c r="G3" s="45">
        <f t="shared" ref="G3:G27" si="1">SUM(C3)-F3</f>
        <v>-18</v>
      </c>
      <c r="H3" s="7"/>
    </row>
    <row r="4" spans="2:8" x14ac:dyDescent="0.2">
      <c r="B4" s="5" t="s">
        <v>1</v>
      </c>
      <c r="C4" s="45">
        <v>1007</v>
      </c>
      <c r="D4" s="61">
        <v>1058</v>
      </c>
      <c r="E4" s="45">
        <f t="shared" si="0"/>
        <v>-51</v>
      </c>
      <c r="F4" s="61">
        <v>1043</v>
      </c>
      <c r="G4" s="45">
        <f t="shared" si="1"/>
        <v>-36</v>
      </c>
      <c r="H4" s="7"/>
    </row>
    <row r="5" spans="2:8" x14ac:dyDescent="0.2">
      <c r="B5" s="5" t="s">
        <v>2</v>
      </c>
      <c r="C5" s="45">
        <v>713</v>
      </c>
      <c r="D5" s="61">
        <v>807</v>
      </c>
      <c r="E5" s="45">
        <f t="shared" si="0"/>
        <v>-94</v>
      </c>
      <c r="F5" s="61">
        <v>728</v>
      </c>
      <c r="G5" s="45">
        <f t="shared" si="1"/>
        <v>-15</v>
      </c>
      <c r="H5" s="7"/>
    </row>
    <row r="6" spans="2:8" x14ac:dyDescent="0.2">
      <c r="B6" s="5" t="s">
        <v>3</v>
      </c>
      <c r="C6" s="45">
        <v>1208</v>
      </c>
      <c r="D6" s="61">
        <v>1324</v>
      </c>
      <c r="E6" s="45">
        <f t="shared" si="0"/>
        <v>-116</v>
      </c>
      <c r="F6" s="61">
        <v>1369</v>
      </c>
      <c r="G6" s="45">
        <f t="shared" si="1"/>
        <v>-161</v>
      </c>
      <c r="H6" s="7"/>
    </row>
    <row r="7" spans="2:8" x14ac:dyDescent="0.2">
      <c r="B7" s="5" t="s">
        <v>4</v>
      </c>
      <c r="C7" s="45">
        <v>1301</v>
      </c>
      <c r="D7" s="61">
        <v>1340</v>
      </c>
      <c r="E7" s="45">
        <f t="shared" si="0"/>
        <v>-39</v>
      </c>
      <c r="F7" s="61">
        <v>1287</v>
      </c>
      <c r="G7" s="45">
        <f t="shared" si="1"/>
        <v>14</v>
      </c>
      <c r="H7" s="7"/>
    </row>
    <row r="8" spans="2:8" x14ac:dyDescent="0.2">
      <c r="B8" s="5" t="s">
        <v>5</v>
      </c>
      <c r="C8" s="45">
        <v>486</v>
      </c>
      <c r="D8" s="61">
        <v>506</v>
      </c>
      <c r="E8" s="45">
        <f t="shared" si="0"/>
        <v>-20</v>
      </c>
      <c r="F8" s="61">
        <v>502</v>
      </c>
      <c r="G8" s="45">
        <f t="shared" si="1"/>
        <v>-16</v>
      </c>
      <c r="H8" s="7"/>
    </row>
    <row r="9" spans="2:8" x14ac:dyDescent="0.2">
      <c r="B9" s="9" t="s">
        <v>6</v>
      </c>
      <c r="C9" s="45">
        <v>567</v>
      </c>
      <c r="D9" s="61">
        <v>586</v>
      </c>
      <c r="E9" s="45">
        <f t="shared" si="0"/>
        <v>-19</v>
      </c>
      <c r="F9" s="61">
        <v>465</v>
      </c>
      <c r="G9" s="45">
        <f t="shared" si="1"/>
        <v>102</v>
      </c>
      <c r="H9" s="7"/>
    </row>
    <row r="10" spans="2:8" x14ac:dyDescent="0.2">
      <c r="B10" s="5" t="s">
        <v>7</v>
      </c>
      <c r="C10" s="45">
        <v>475</v>
      </c>
      <c r="D10" s="61">
        <v>478</v>
      </c>
      <c r="E10" s="45">
        <f t="shared" si="0"/>
        <v>-3</v>
      </c>
      <c r="F10" s="61">
        <v>453</v>
      </c>
      <c r="G10" s="45">
        <f t="shared" si="1"/>
        <v>22</v>
      </c>
      <c r="H10" s="7"/>
    </row>
    <row r="11" spans="2:8" x14ac:dyDescent="0.2">
      <c r="B11" s="5" t="s">
        <v>8</v>
      </c>
      <c r="C11" s="45">
        <v>900</v>
      </c>
      <c r="D11" s="61">
        <v>941</v>
      </c>
      <c r="E11" s="45">
        <f t="shared" si="0"/>
        <v>-41</v>
      </c>
      <c r="F11" s="61">
        <v>998</v>
      </c>
      <c r="G11" s="45">
        <f t="shared" si="1"/>
        <v>-98</v>
      </c>
      <c r="H11" s="7"/>
    </row>
    <row r="12" spans="2:8" x14ac:dyDescent="0.2">
      <c r="B12" s="5" t="s">
        <v>9</v>
      </c>
      <c r="C12" s="45">
        <v>549</v>
      </c>
      <c r="D12" s="61">
        <v>563</v>
      </c>
      <c r="E12" s="45">
        <f t="shared" si="0"/>
        <v>-14</v>
      </c>
      <c r="F12" s="61">
        <v>532</v>
      </c>
      <c r="G12" s="45">
        <f t="shared" si="1"/>
        <v>17</v>
      </c>
      <c r="H12" s="7"/>
    </row>
    <row r="13" spans="2:8" x14ac:dyDescent="0.2">
      <c r="B13" s="5" t="s">
        <v>10</v>
      </c>
      <c r="C13" s="45">
        <v>770</v>
      </c>
      <c r="D13" s="61">
        <v>832</v>
      </c>
      <c r="E13" s="45">
        <f t="shared" si="0"/>
        <v>-62</v>
      </c>
      <c r="F13" s="61">
        <v>902</v>
      </c>
      <c r="G13" s="45">
        <f t="shared" si="1"/>
        <v>-132</v>
      </c>
      <c r="H13" s="7"/>
    </row>
    <row r="14" spans="2:8" x14ac:dyDescent="0.2">
      <c r="B14" s="5" t="s">
        <v>11</v>
      </c>
      <c r="C14" s="45">
        <v>696</v>
      </c>
      <c r="D14" s="61">
        <v>734</v>
      </c>
      <c r="E14" s="45">
        <f t="shared" si="0"/>
        <v>-38</v>
      </c>
      <c r="F14" s="61">
        <v>666</v>
      </c>
      <c r="G14" s="45">
        <f t="shared" si="1"/>
        <v>30</v>
      </c>
      <c r="H14" s="7"/>
    </row>
    <row r="15" spans="2:8" x14ac:dyDescent="0.2">
      <c r="B15" s="5" t="s">
        <v>12</v>
      </c>
      <c r="C15" s="45">
        <v>844</v>
      </c>
      <c r="D15" s="61">
        <v>883</v>
      </c>
      <c r="E15" s="45">
        <f t="shared" si="0"/>
        <v>-39</v>
      </c>
      <c r="F15" s="61">
        <v>953</v>
      </c>
      <c r="G15" s="45">
        <f t="shared" si="1"/>
        <v>-109</v>
      </c>
      <c r="H15" s="7"/>
    </row>
    <row r="16" spans="2:8" x14ac:dyDescent="0.2">
      <c r="B16" s="5" t="s">
        <v>13</v>
      </c>
      <c r="C16" s="45">
        <v>822</v>
      </c>
      <c r="D16" s="61">
        <v>851</v>
      </c>
      <c r="E16" s="45">
        <f t="shared" si="0"/>
        <v>-29</v>
      </c>
      <c r="F16" s="61">
        <v>1001</v>
      </c>
      <c r="G16" s="45">
        <f t="shared" si="1"/>
        <v>-179</v>
      </c>
      <c r="H16" s="7"/>
    </row>
    <row r="17" spans="2:8" x14ac:dyDescent="0.2">
      <c r="B17" s="5" t="s">
        <v>14</v>
      </c>
      <c r="C17" s="45">
        <v>982</v>
      </c>
      <c r="D17" s="61">
        <v>1000</v>
      </c>
      <c r="E17" s="45">
        <f t="shared" si="0"/>
        <v>-18</v>
      </c>
      <c r="F17" s="61">
        <v>1038</v>
      </c>
      <c r="G17" s="45">
        <f t="shared" si="1"/>
        <v>-56</v>
      </c>
      <c r="H17" s="7"/>
    </row>
    <row r="18" spans="2:8" x14ac:dyDescent="0.2">
      <c r="B18" s="5" t="s">
        <v>15</v>
      </c>
      <c r="C18" s="45">
        <v>771</v>
      </c>
      <c r="D18" s="61">
        <v>797</v>
      </c>
      <c r="E18" s="45">
        <f t="shared" si="0"/>
        <v>-26</v>
      </c>
      <c r="F18" s="61">
        <v>907</v>
      </c>
      <c r="G18" s="45">
        <f t="shared" si="1"/>
        <v>-136</v>
      </c>
      <c r="H18" s="7"/>
    </row>
    <row r="19" spans="2:8" x14ac:dyDescent="0.2">
      <c r="B19" s="5" t="s">
        <v>16</v>
      </c>
      <c r="C19" s="45">
        <v>1270</v>
      </c>
      <c r="D19" s="61">
        <v>1317</v>
      </c>
      <c r="E19" s="45">
        <f t="shared" si="0"/>
        <v>-47</v>
      </c>
      <c r="F19" s="61">
        <v>1488</v>
      </c>
      <c r="G19" s="45">
        <f t="shared" si="1"/>
        <v>-218</v>
      </c>
      <c r="H19" s="7"/>
    </row>
    <row r="20" spans="2:8" x14ac:dyDescent="0.2">
      <c r="B20" s="5" t="s">
        <v>17</v>
      </c>
      <c r="C20" s="45">
        <v>734</v>
      </c>
      <c r="D20" s="61">
        <v>794</v>
      </c>
      <c r="E20" s="45">
        <f t="shared" si="0"/>
        <v>-60</v>
      </c>
      <c r="F20" s="61">
        <v>701</v>
      </c>
      <c r="G20" s="45">
        <f t="shared" si="1"/>
        <v>33</v>
      </c>
      <c r="H20" s="7"/>
    </row>
    <row r="21" spans="2:8" x14ac:dyDescent="0.2">
      <c r="B21" s="5" t="s">
        <v>18</v>
      </c>
      <c r="C21" s="45">
        <v>529</v>
      </c>
      <c r="D21" s="61">
        <v>528</v>
      </c>
      <c r="E21" s="45">
        <f t="shared" si="0"/>
        <v>1</v>
      </c>
      <c r="F21" s="61">
        <v>580</v>
      </c>
      <c r="G21" s="45">
        <f t="shared" si="1"/>
        <v>-51</v>
      </c>
      <c r="H21" s="7"/>
    </row>
    <row r="22" spans="2:8" x14ac:dyDescent="0.2">
      <c r="B22" s="5" t="s">
        <v>19</v>
      </c>
      <c r="C22" s="45">
        <v>919</v>
      </c>
      <c r="D22" s="61">
        <v>947</v>
      </c>
      <c r="E22" s="45">
        <f t="shared" si="0"/>
        <v>-28</v>
      </c>
      <c r="F22" s="61">
        <v>939</v>
      </c>
      <c r="G22" s="45">
        <f t="shared" si="1"/>
        <v>-20</v>
      </c>
      <c r="H22" s="7"/>
    </row>
    <row r="23" spans="2:8" x14ac:dyDescent="0.2">
      <c r="B23" s="5" t="s">
        <v>20</v>
      </c>
      <c r="C23" s="45">
        <v>341</v>
      </c>
      <c r="D23" s="61">
        <v>364</v>
      </c>
      <c r="E23" s="45">
        <f t="shared" si="0"/>
        <v>-23</v>
      </c>
      <c r="F23" s="61">
        <v>412</v>
      </c>
      <c r="G23" s="45">
        <f t="shared" si="1"/>
        <v>-71</v>
      </c>
      <c r="H23" s="7"/>
    </row>
    <row r="24" spans="2:8" x14ac:dyDescent="0.2">
      <c r="B24" s="5" t="s">
        <v>21</v>
      </c>
      <c r="C24" s="45">
        <v>150</v>
      </c>
      <c r="D24" s="61">
        <v>152</v>
      </c>
      <c r="E24" s="45">
        <f t="shared" si="0"/>
        <v>-2</v>
      </c>
      <c r="F24" s="61">
        <v>131</v>
      </c>
      <c r="G24" s="45">
        <f t="shared" si="1"/>
        <v>19</v>
      </c>
      <c r="H24" s="7"/>
    </row>
    <row r="25" spans="2:8" x14ac:dyDescent="0.2">
      <c r="B25" s="5" t="s">
        <v>22</v>
      </c>
      <c r="C25" s="45">
        <v>441</v>
      </c>
      <c r="D25" s="61">
        <v>459</v>
      </c>
      <c r="E25" s="45">
        <f t="shared" si="0"/>
        <v>-18</v>
      </c>
      <c r="F25" s="61">
        <v>496</v>
      </c>
      <c r="G25" s="45">
        <f t="shared" si="1"/>
        <v>-55</v>
      </c>
      <c r="H25" s="7"/>
    </row>
    <row r="26" spans="2:8" x14ac:dyDescent="0.2">
      <c r="B26" s="5" t="s">
        <v>23</v>
      </c>
      <c r="C26" s="45">
        <v>1008</v>
      </c>
      <c r="D26" s="61">
        <v>1000</v>
      </c>
      <c r="E26" s="45">
        <f t="shared" si="0"/>
        <v>8</v>
      </c>
      <c r="F26" s="61">
        <v>1136</v>
      </c>
      <c r="G26" s="45">
        <f t="shared" si="1"/>
        <v>-128</v>
      </c>
      <c r="H26" s="7"/>
    </row>
    <row r="27" spans="2:8" x14ac:dyDescent="0.2">
      <c r="B27" s="5" t="s">
        <v>24</v>
      </c>
      <c r="C27" s="45">
        <v>212</v>
      </c>
      <c r="D27" s="61">
        <v>218</v>
      </c>
      <c r="E27" s="45">
        <f t="shared" si="0"/>
        <v>-6</v>
      </c>
      <c r="F27" s="61">
        <v>277</v>
      </c>
      <c r="G27" s="45">
        <f t="shared" si="1"/>
        <v>-65</v>
      </c>
      <c r="H27" s="7"/>
    </row>
    <row r="28" spans="2:8" ht="15" x14ac:dyDescent="0.25">
      <c r="B28" s="58" t="s">
        <v>25</v>
      </c>
      <c r="C28" s="79">
        <f>SUM(C3:C27)</f>
        <v>18002</v>
      </c>
      <c r="D28" s="63">
        <f>SUM(D3:D27)</f>
        <v>18800</v>
      </c>
      <c r="E28" s="79">
        <f>SUM(E3:E27)</f>
        <v>-798</v>
      </c>
      <c r="F28" s="63">
        <f>SUM(F3:F27)</f>
        <v>19329</v>
      </c>
      <c r="G28" s="79">
        <f>SUM(G3:G27)</f>
        <v>-1327</v>
      </c>
      <c r="H28" s="7"/>
    </row>
    <row r="29" spans="2:8" x14ac:dyDescent="0.2">
      <c r="E29" s="19"/>
      <c r="F29" s="19"/>
      <c r="G29" s="7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6.570312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20"/>
      <c r="D2" s="21"/>
    </row>
    <row r="3" spans="2:8" ht="71.25" x14ac:dyDescent="0.2">
      <c r="B3" s="62" t="s">
        <v>88</v>
      </c>
      <c r="C3" s="55" t="str">
        <f>T('7_do 30 r.ż.'!B2)</f>
        <v>powiaty</v>
      </c>
      <c r="D3" s="55" t="str">
        <f>T('7_do 30 r.ż.'!C2)</f>
        <v>liczba bezrobotnych do 30 r. ż. stan na 31 III '23 r.</v>
      </c>
      <c r="E3" s="55" t="str">
        <f>T('7_do 30 r.ż.'!D2)</f>
        <v>liczba bezrobotnych do 30 r. ż. stan na 28 II '23 r.</v>
      </c>
      <c r="F3" s="55" t="str">
        <f>T('7_do 30 r.ż.'!E2)</f>
        <v>wzrost/spadek do poprzedniego  miesiąca</v>
      </c>
      <c r="G3" s="55" t="str">
        <f>T('7_do 30 r.ż.'!F2)</f>
        <v>liczba bezrobotnych do 30 r. ż. stan na 31 III '22 r.</v>
      </c>
      <c r="H3" s="55" t="str">
        <f>T('7_do 30 r.ż.'!G2)</f>
        <v>wzrost/spadek do analogicznego okresu ubr.</v>
      </c>
    </row>
    <row r="4" spans="2:8" x14ac:dyDescent="0.2">
      <c r="B4" s="6">
        <f>RANK('7_do 30 r.ż.'!C3,'7_do 30 r.ż.'!$C$3:'7_do 30 r.ż.'!$C$28,1)+COUNTIF('7_do 30 r.ż.'!$C$3:'7_do 30 r.ż.'!C3,'7_do 30 r.ż.'!C3)-1</f>
        <v>3</v>
      </c>
      <c r="C4" s="5" t="str">
        <f>INDEX('7_do 30 r.ż.'!B3:G28,MATCH(1,B4:B29,0),1)</f>
        <v>Krosno</v>
      </c>
      <c r="D4" s="25">
        <f>INDEX('7_do 30 r.ż.'!B3:G28,MATCH(1,B4:B29,0),2)</f>
        <v>150</v>
      </c>
      <c r="E4" s="61">
        <f>INDEX('7_do 30 r.ż.'!B3:G28,MATCH(1,B4:B29,0),3)</f>
        <v>152</v>
      </c>
      <c r="F4" s="6">
        <f>INDEX('7_do 30 r.ż.'!B3:G28,MATCH(1,B4:B29,0),4)</f>
        <v>-2</v>
      </c>
      <c r="G4" s="61">
        <f>INDEX('7_do 30 r.ż.'!B3:G28,MATCH(1,B4:B29,0),5)</f>
        <v>131</v>
      </c>
      <c r="H4" s="6">
        <f>INDEX('7_do 30 r.ż.'!B3:G28,MATCH(1,B4:B29,0),6)</f>
        <v>19</v>
      </c>
    </row>
    <row r="5" spans="2:8" x14ac:dyDescent="0.2">
      <c r="B5" s="6">
        <f>RANK('7_do 30 r.ż.'!C4,'7_do 30 r.ż.'!$C$3:'7_do 30 r.ż.'!$C$28,1)+COUNTIF('7_do 30 r.ż.'!$C$3:'7_do 30 r.ż.'!C4,'7_do 30 r.ż.'!C4)-1</f>
        <v>21</v>
      </c>
      <c r="C5" s="5" t="str">
        <f>INDEX('7_do 30 r.ż.'!B3:G28,MATCH(2,B4:B29,0),1)</f>
        <v>Tarnobrzeg</v>
      </c>
      <c r="D5" s="6">
        <f>INDEX('7_do 30 r.ż.'!B3:G28,MATCH(2,B4:B29,0),2)</f>
        <v>212</v>
      </c>
      <c r="E5" s="61">
        <f>INDEX('7_do 30 r.ż.'!B3:G28,MATCH(2,B4:B29,0),3)</f>
        <v>218</v>
      </c>
      <c r="F5" s="6">
        <f>INDEX('7_do 30 r.ż.'!B3:G28,MATCH(2,B4:B29,0),4)</f>
        <v>-6</v>
      </c>
      <c r="G5" s="61">
        <f>INDEX('7_do 30 r.ż.'!B3:G28,MATCH(2,B4:B29,0),5)</f>
        <v>277</v>
      </c>
      <c r="H5" s="6">
        <f>INDEX('7_do 30 r.ż.'!B3:G28,MATCH(2,B4:B29,0),6)</f>
        <v>-65</v>
      </c>
    </row>
    <row r="6" spans="2:8" x14ac:dyDescent="0.2">
      <c r="B6" s="6">
        <f>RANK('7_do 30 r.ż.'!C5,'7_do 30 r.ż.'!$C$3:'7_do 30 r.ż.'!$C$28,1)+COUNTIF('7_do 30 r.ż.'!$C$3:'7_do 30 r.ż.'!C5,'7_do 30 r.ż.'!C5)-1</f>
        <v>12</v>
      </c>
      <c r="C6" s="5" t="str">
        <f>INDEX('7_do 30 r.ż.'!B3:G28,MATCH(3,B4:B29,0),1)</f>
        <v>bieszczadzki</v>
      </c>
      <c r="D6" s="6">
        <f>INDEX('7_do 30 r.ż.'!B3:G28,MATCH(3,B4:B29,0),2)</f>
        <v>307</v>
      </c>
      <c r="E6" s="61">
        <f>INDEX('7_do 30 r.ż.'!B3:G28,MATCH(3,B4:B29,0),3)</f>
        <v>321</v>
      </c>
      <c r="F6" s="6">
        <f>INDEX('7_do 30 r.ż.'!B3:G28,MATCH(3,B4:B29,0),4)</f>
        <v>-14</v>
      </c>
      <c r="G6" s="61">
        <f>INDEX('7_do 30 r.ż.'!B3:G28,MATCH(3,B4:B29,0),5)</f>
        <v>325</v>
      </c>
      <c r="H6" s="6">
        <f>INDEX('7_do 30 r.ż.'!B3:G28,MATCH(3,B4:B29,0),6)</f>
        <v>-18</v>
      </c>
    </row>
    <row r="7" spans="2:8" x14ac:dyDescent="0.2">
      <c r="B7" s="6">
        <f>RANK('7_do 30 r.ż.'!C6,'7_do 30 r.ż.'!$C$3:'7_do 30 r.ż.'!$C$28,1)+COUNTIF('7_do 30 r.ż.'!$C$3:'7_do 30 r.ż.'!C6,'7_do 30 r.ż.'!C6)-1</f>
        <v>23</v>
      </c>
      <c r="C7" s="5" t="str">
        <f>INDEX('7_do 30 r.ż.'!B3:G28,MATCH(4,B4:B29,0),1)</f>
        <v xml:space="preserve">tarnobrzeski </v>
      </c>
      <c r="D7" s="6">
        <f>INDEX('7_do 30 r.ż.'!B3:G28,MATCH(4,B4:B29,0),2)</f>
        <v>341</v>
      </c>
      <c r="E7" s="61">
        <f>INDEX('7_do 30 r.ż.'!B3:G28,MATCH(4,B4:B29,0),3)</f>
        <v>364</v>
      </c>
      <c r="F7" s="6">
        <f>INDEX('7_do 30 r.ż.'!B3:G28,MATCH(4,B4:B29,0),4)</f>
        <v>-23</v>
      </c>
      <c r="G7" s="61">
        <f>INDEX('7_do 30 r.ż.'!B3:G28,MATCH(4,B4:B29,0),5)</f>
        <v>412</v>
      </c>
      <c r="H7" s="6">
        <f>INDEX('7_do 30 r.ż.'!B3:G28,MATCH(4,B4:B29,0),6)</f>
        <v>-71</v>
      </c>
    </row>
    <row r="8" spans="2:8" x14ac:dyDescent="0.2">
      <c r="B8" s="6">
        <f>RANK('7_do 30 r.ż.'!C7,'7_do 30 r.ż.'!$C$3:'7_do 30 r.ż.'!$C$28,1)+COUNTIF('7_do 30 r.ż.'!$C$3:'7_do 30 r.ż.'!C7,'7_do 30 r.ż.'!C7)-1</f>
        <v>25</v>
      </c>
      <c r="C8" s="5" t="str">
        <f>INDEX('7_do 30 r.ż.'!B3:G28,MATCH(5,B4:B29,0),1)</f>
        <v>Przemyśl</v>
      </c>
      <c r="D8" s="6">
        <f>INDEX('7_do 30 r.ż.'!B3:G28,MATCH(5,B4:B29,0),2)</f>
        <v>441</v>
      </c>
      <c r="E8" s="61">
        <f>INDEX('7_do 30 r.ż.'!B3:G28,MATCH(5,B4:B29,0),3)</f>
        <v>459</v>
      </c>
      <c r="F8" s="6">
        <f>INDEX('7_do 30 r.ż.'!B3:G28,MATCH(5,B4:B29,0),4)</f>
        <v>-18</v>
      </c>
      <c r="G8" s="61">
        <f>INDEX('7_do 30 r.ż.'!B3:G28,MATCH(5,B4:B29,0),5)</f>
        <v>496</v>
      </c>
      <c r="H8" s="6">
        <f>INDEX('7_do 30 r.ż.'!B3:G28,MATCH(5,B4:B29,0),6)</f>
        <v>-55</v>
      </c>
    </row>
    <row r="9" spans="2:8" x14ac:dyDescent="0.2">
      <c r="B9" s="6">
        <f>RANK('7_do 30 r.ż.'!C8,'7_do 30 r.ż.'!$C$3:'7_do 30 r.ż.'!$C$28,1)+COUNTIF('7_do 30 r.ż.'!$C$3:'7_do 30 r.ż.'!C8,'7_do 30 r.ż.'!C8)-1</f>
        <v>7</v>
      </c>
      <c r="C9" s="5" t="str">
        <f>INDEX('7_do 30 r.ż.'!B3:G28,MATCH(6,B4:B29,0),1)</f>
        <v>leski</v>
      </c>
      <c r="D9" s="6">
        <f>INDEX('7_do 30 r.ż.'!B3:G28,MATCH(6,B4:B29,0),2)</f>
        <v>475</v>
      </c>
      <c r="E9" s="61">
        <f>INDEX('7_do 30 r.ż.'!B3:G28,MATCH(6,B4:B29,0),3)</f>
        <v>478</v>
      </c>
      <c r="F9" s="6">
        <f>INDEX('7_do 30 r.ż.'!B3:G28,MATCH(6,B4:B29,0),4)</f>
        <v>-3</v>
      </c>
      <c r="G9" s="61">
        <f>INDEX('7_do 30 r.ż.'!B3:G28,MATCH(6,B4:B29,0),5)</f>
        <v>453</v>
      </c>
      <c r="H9" s="6">
        <f>INDEX('7_do 30 r.ż.'!B3:G28,MATCH(6,B4:B29,0),6)</f>
        <v>22</v>
      </c>
    </row>
    <row r="10" spans="2:8" x14ac:dyDescent="0.2">
      <c r="B10" s="6">
        <f>RANK('7_do 30 r.ż.'!C9,'7_do 30 r.ż.'!$C$3:'7_do 30 r.ż.'!$C$28,1)+COUNTIF('7_do 30 r.ż.'!$C$3:'7_do 30 r.ż.'!C9,'7_do 30 r.ż.'!C9)-1</f>
        <v>10</v>
      </c>
      <c r="C10" s="9" t="str">
        <f>INDEX('7_do 30 r.ż.'!B3:G28,MATCH(7,B4:B29,0),1)</f>
        <v>kolbuszowski</v>
      </c>
      <c r="D10" s="6">
        <f>INDEX('7_do 30 r.ż.'!B3:G28,MATCH(7,B4:B29,0),2)</f>
        <v>486</v>
      </c>
      <c r="E10" s="61">
        <f>INDEX('7_do 30 r.ż.'!B3:G28,MATCH(7,B4:B29,0),3)</f>
        <v>506</v>
      </c>
      <c r="F10" s="6">
        <f>INDEX('7_do 30 r.ż.'!B3:G28,MATCH(7,B4:B29,0),4)</f>
        <v>-20</v>
      </c>
      <c r="G10" s="61">
        <f>INDEX('7_do 30 r.ż.'!B3:G28,MATCH(7,B4:B29,0),5)</f>
        <v>502</v>
      </c>
      <c r="H10" s="6">
        <f>INDEX('7_do 30 r.ż.'!B3:G28,MATCH(7,B4:B29,0),6)</f>
        <v>-16</v>
      </c>
    </row>
    <row r="11" spans="2:8" x14ac:dyDescent="0.2">
      <c r="B11" s="6">
        <f>RANK('7_do 30 r.ż.'!C10,'7_do 30 r.ż.'!$C$3:'7_do 30 r.ż.'!$C$28,1)+COUNTIF('7_do 30 r.ż.'!$C$3:'7_do 30 r.ż.'!C10,'7_do 30 r.ż.'!C10)-1</f>
        <v>6</v>
      </c>
      <c r="C11" s="5" t="str">
        <f>INDEX('7_do 30 r.ż.'!B3:G28,MATCH(8,B4:B29,0),1)</f>
        <v>stalowowolski</v>
      </c>
      <c r="D11" s="6">
        <f>INDEX('7_do 30 r.ż.'!B3:G28,MATCH(8,B4:B29,0),2)</f>
        <v>529</v>
      </c>
      <c r="E11" s="61">
        <f>INDEX('7_do 30 r.ż.'!B3:G28,MATCH(8,B4:B29,0),3)</f>
        <v>528</v>
      </c>
      <c r="F11" s="6">
        <f>INDEX('7_do 30 r.ż.'!B3:G28,MATCH(8,B4:B29,0),4)</f>
        <v>1</v>
      </c>
      <c r="G11" s="61">
        <f>INDEX('7_do 30 r.ż.'!B3:G28,MATCH(8,B4:B29,0),5)</f>
        <v>580</v>
      </c>
      <c r="H11" s="6">
        <f>INDEX('7_do 30 r.ż.'!B3:G28,MATCH(8,B4:B29,0),6)</f>
        <v>-51</v>
      </c>
    </row>
    <row r="12" spans="2:8" x14ac:dyDescent="0.2">
      <c r="B12" s="6">
        <f>RANK('7_do 30 r.ż.'!C11,'7_do 30 r.ż.'!$C$3:'7_do 30 r.ż.'!$C$28,1)+COUNTIF('7_do 30 r.ż.'!$C$3:'7_do 30 r.ż.'!C11,'7_do 30 r.ż.'!C11)-1</f>
        <v>18</v>
      </c>
      <c r="C12" s="5" t="str">
        <f>INDEX('7_do 30 r.ż.'!B3:G28,MATCH(9,B4:B29,0),1)</f>
        <v>lubaczowski</v>
      </c>
      <c r="D12" s="6">
        <f>INDEX('7_do 30 r.ż.'!B3:G28,MATCH(9,B4:B29,0),2)</f>
        <v>549</v>
      </c>
      <c r="E12" s="61">
        <f>INDEX('7_do 30 r.ż.'!B3:G28,MATCH(9,B4:B29,0),3)</f>
        <v>563</v>
      </c>
      <c r="F12" s="6">
        <f>INDEX('7_do 30 r.ż.'!B3:G28,MATCH(9,B4:B29,0),4)</f>
        <v>-14</v>
      </c>
      <c r="G12" s="61">
        <f>INDEX('7_do 30 r.ż.'!B3:G28,MATCH(9,B4:B29,0),5)</f>
        <v>532</v>
      </c>
      <c r="H12" s="6">
        <f>INDEX('7_do 30 r.ż.'!B3:G28,MATCH(9,B4:B29,0),6)</f>
        <v>17</v>
      </c>
    </row>
    <row r="13" spans="2:8" x14ac:dyDescent="0.2">
      <c r="B13" s="6">
        <f>RANK('7_do 30 r.ż.'!C12,'7_do 30 r.ż.'!$C$3:'7_do 30 r.ż.'!$C$28,1)+COUNTIF('7_do 30 r.ż.'!$C$3:'7_do 30 r.ż.'!C12,'7_do 30 r.ż.'!C12)-1</f>
        <v>9</v>
      </c>
      <c r="C13" s="5" t="str">
        <f>INDEX('7_do 30 r.ż.'!B3:G28,MATCH(10,B4:B29,0),1)</f>
        <v>krośnieński</v>
      </c>
      <c r="D13" s="6">
        <f>INDEX('7_do 30 r.ż.'!B3:G28,MATCH(10,B4:B29,0),2)</f>
        <v>567</v>
      </c>
      <c r="E13" s="61">
        <f>INDEX('7_do 30 r.ż.'!B3:G28,MATCH(10,B4:B29,0),3)</f>
        <v>586</v>
      </c>
      <c r="F13" s="6">
        <f>INDEX('7_do 30 r.ż.'!B3:G28,MATCH(10,B4:B29,0),4)</f>
        <v>-19</v>
      </c>
      <c r="G13" s="61">
        <f>INDEX('7_do 30 r.ż.'!B3:G28,MATCH(10,B4:B29,0),5)</f>
        <v>465</v>
      </c>
      <c r="H13" s="6">
        <f>INDEX('7_do 30 r.ż.'!B3:G28,MATCH(10,B4:B29,0),6)</f>
        <v>102</v>
      </c>
    </row>
    <row r="14" spans="2:8" x14ac:dyDescent="0.2">
      <c r="B14" s="6">
        <f>RANK('7_do 30 r.ż.'!C13,'7_do 30 r.ż.'!$C$3:'7_do 30 r.ż.'!$C$28,1)+COUNTIF('7_do 30 r.ż.'!$C$3:'7_do 30 r.ż.'!C13,'7_do 30 r.ż.'!C13)-1</f>
        <v>14</v>
      </c>
      <c r="C14" s="5" t="str">
        <f>INDEX('7_do 30 r.ż.'!B3:G28,MATCH(11,B4:B29,0),1)</f>
        <v>mielecki</v>
      </c>
      <c r="D14" s="6">
        <f>INDEX('7_do 30 r.ż.'!B3:G28,MATCH(11,B4:B29,0),2)</f>
        <v>696</v>
      </c>
      <c r="E14" s="61">
        <f>INDEX('7_do 30 r.ż.'!B3:G28,MATCH(11,B4:B29,0),3)</f>
        <v>734</v>
      </c>
      <c r="F14" s="6">
        <f>INDEX('7_do 30 r.ż.'!B3:G28,MATCH(11,B4:B29,0),4)</f>
        <v>-38</v>
      </c>
      <c r="G14" s="61">
        <f>INDEX('7_do 30 r.ż.'!B3:G28,MATCH(11,B4:B29,0),5)</f>
        <v>666</v>
      </c>
      <c r="H14" s="6">
        <f>INDEX('7_do 30 r.ż.'!B3:G28,MATCH(11,B4:B29,0),6)</f>
        <v>30</v>
      </c>
    </row>
    <row r="15" spans="2:8" x14ac:dyDescent="0.2">
      <c r="B15" s="6">
        <f>RANK('7_do 30 r.ż.'!C14,'7_do 30 r.ż.'!$C$3:'7_do 30 r.ż.'!$C$28,1)+COUNTIF('7_do 30 r.ż.'!$C$3:'7_do 30 r.ż.'!C14,'7_do 30 r.ż.'!C14)-1</f>
        <v>11</v>
      </c>
      <c r="C15" s="5" t="str">
        <f>INDEX('7_do 30 r.ż.'!B3:G28,MATCH(12,B4:B29,0),1)</f>
        <v>dębicki</v>
      </c>
      <c r="D15" s="6">
        <f>INDEX('7_do 30 r.ż.'!B3:G28,MATCH(12,B4:B29,0),2)</f>
        <v>713</v>
      </c>
      <c r="E15" s="61">
        <f>INDEX('7_do 30 r.ż.'!B3:G28,MATCH(12,B4:B29,0),3)</f>
        <v>807</v>
      </c>
      <c r="F15" s="6">
        <f>INDEX('7_do 30 r.ż.'!B3:G28,MATCH(12,B4:B29,0),4)</f>
        <v>-94</v>
      </c>
      <c r="G15" s="61">
        <f>INDEX('7_do 30 r.ż.'!B3:G28,MATCH(12,B4:B29,0),5)</f>
        <v>728</v>
      </c>
      <c r="H15" s="6">
        <f>INDEX('7_do 30 r.ż.'!B3:G28,MATCH(12,B4:B29,0),6)</f>
        <v>-15</v>
      </c>
    </row>
    <row r="16" spans="2:8" x14ac:dyDescent="0.2">
      <c r="B16" s="6">
        <f>RANK('7_do 30 r.ż.'!C15,'7_do 30 r.ż.'!$C$3:'7_do 30 r.ż.'!$C$28,1)+COUNTIF('7_do 30 r.ż.'!$C$3:'7_do 30 r.ż.'!C15,'7_do 30 r.ż.'!C15)-1</f>
        <v>17</v>
      </c>
      <c r="C16" s="5" t="str">
        <f>INDEX('7_do 30 r.ż.'!B3:G28,MATCH(13,B4:B29,0),1)</f>
        <v>sanocki</v>
      </c>
      <c r="D16" s="6">
        <f>INDEX('7_do 30 r.ż.'!B3:G28,MATCH(13,B4:B29,0),2)</f>
        <v>734</v>
      </c>
      <c r="E16" s="61">
        <f>INDEX('7_do 30 r.ż.'!B3:G28,MATCH(13,B4:B29,0),3)</f>
        <v>794</v>
      </c>
      <c r="F16" s="6">
        <f>INDEX('7_do 30 r.ż.'!B3:G28,MATCH(13,B4:B29,0),4)</f>
        <v>-60</v>
      </c>
      <c r="G16" s="61">
        <f>INDEX('7_do 30 r.ż.'!B3:G28,MATCH(13,B4:B29,0),5)</f>
        <v>701</v>
      </c>
      <c r="H16" s="6">
        <f>INDEX('7_do 30 r.ż.'!B3:G28,MATCH(13,B4:B29,0),6)</f>
        <v>33</v>
      </c>
    </row>
    <row r="17" spans="2:8" x14ac:dyDescent="0.2">
      <c r="B17" s="6">
        <f>RANK('7_do 30 r.ż.'!C16,'7_do 30 r.ż.'!$C$3:'7_do 30 r.ż.'!$C$28,1)+COUNTIF('7_do 30 r.ż.'!$C$3:'7_do 30 r.ż.'!C16,'7_do 30 r.ż.'!C16)-1</f>
        <v>16</v>
      </c>
      <c r="C17" s="5" t="str">
        <f>INDEX('7_do 30 r.ż.'!B3:G28,MATCH(14,B4:B29,0),1)</f>
        <v>łańcucki</v>
      </c>
      <c r="D17" s="6">
        <f>INDEX('7_do 30 r.ż.'!B3:G28,MATCH(14,B4:B29,0),2)</f>
        <v>770</v>
      </c>
      <c r="E17" s="61">
        <f>INDEX('7_do 30 r.ż.'!B3:G28,MATCH(14,B4:B29,0),3)</f>
        <v>832</v>
      </c>
      <c r="F17" s="6">
        <f>INDEX('7_do 30 r.ż.'!B3:G28,MATCH(14,B4:B29,0),4)</f>
        <v>-62</v>
      </c>
      <c r="G17" s="61">
        <f>INDEX('7_do 30 r.ż.'!B3:G28,MATCH(14,B4:B29,0),5)</f>
        <v>902</v>
      </c>
      <c r="H17" s="6">
        <f>INDEX('7_do 30 r.ż.'!B3:G28,MATCH(14,B4:B29,0),6)</f>
        <v>-132</v>
      </c>
    </row>
    <row r="18" spans="2:8" x14ac:dyDescent="0.2">
      <c r="B18" s="6">
        <f>RANK('7_do 30 r.ż.'!C17,'7_do 30 r.ż.'!$C$3:'7_do 30 r.ż.'!$C$28,1)+COUNTIF('7_do 30 r.ż.'!$C$3:'7_do 30 r.ż.'!C17,'7_do 30 r.ż.'!C17)-1</f>
        <v>20</v>
      </c>
      <c r="C18" s="5" t="str">
        <f>INDEX('7_do 30 r.ż.'!B3:G28,MATCH(15,B4:B29,0),1)</f>
        <v>ropczycko-sędziszowski</v>
      </c>
      <c r="D18" s="6">
        <f>INDEX('7_do 30 r.ż.'!B3:G28,MATCH(15,B4:B29,0),2)</f>
        <v>771</v>
      </c>
      <c r="E18" s="61">
        <f>INDEX('7_do 30 r.ż.'!B3:G28,MATCH(15,B4:B29,0),3)</f>
        <v>797</v>
      </c>
      <c r="F18" s="6">
        <f>INDEX('7_do 30 r.ż.'!B3:G28,MATCH(15,B4:B29,0),4)</f>
        <v>-26</v>
      </c>
      <c r="G18" s="61">
        <f>INDEX('7_do 30 r.ż.'!B3:G28,MATCH(15,B4:B29,0),5)</f>
        <v>907</v>
      </c>
      <c r="H18" s="6">
        <f>INDEX('7_do 30 r.ż.'!B3:G28,MATCH(15,B4:B29,0),6)</f>
        <v>-136</v>
      </c>
    </row>
    <row r="19" spans="2:8" x14ac:dyDescent="0.2">
      <c r="B19" s="6">
        <f>RANK('7_do 30 r.ż.'!C18,'7_do 30 r.ż.'!$C$3:'7_do 30 r.ż.'!$C$28,1)+COUNTIF('7_do 30 r.ż.'!$C$3:'7_do 30 r.ż.'!C18,'7_do 30 r.ż.'!C18)-1</f>
        <v>15</v>
      </c>
      <c r="C19" s="5" t="str">
        <f>INDEX('7_do 30 r.ż.'!B3:G28,MATCH(16,B4:B29,0),1)</f>
        <v>przemyski</v>
      </c>
      <c r="D19" s="6">
        <f>INDEX('7_do 30 r.ż.'!B3:G28,MATCH(16,B4:B29,0),2)</f>
        <v>822</v>
      </c>
      <c r="E19" s="61">
        <f>INDEX('7_do 30 r.ż.'!B3:G28,MATCH(16,B4:B29,0),3)</f>
        <v>851</v>
      </c>
      <c r="F19" s="6">
        <f>INDEX('7_do 30 r.ż.'!B3:G28,MATCH(16,B4:B29,0),4)</f>
        <v>-29</v>
      </c>
      <c r="G19" s="61">
        <f>INDEX('7_do 30 r.ż.'!B3:G28,MATCH(16,B4:B29,0),5)</f>
        <v>1001</v>
      </c>
      <c r="H19" s="6">
        <f>INDEX('7_do 30 r.ż.'!B3:G28,MATCH(16,B4:B29,0),6)</f>
        <v>-179</v>
      </c>
    </row>
    <row r="20" spans="2:8" x14ac:dyDescent="0.2">
      <c r="B20" s="6">
        <f>RANK('7_do 30 r.ż.'!C19,'7_do 30 r.ż.'!$C$3:'7_do 30 r.ż.'!$C$28,1)+COUNTIF('7_do 30 r.ż.'!$C$3:'7_do 30 r.ż.'!C19,'7_do 30 r.ż.'!C19)-1</f>
        <v>24</v>
      </c>
      <c r="C20" s="5" t="str">
        <f>INDEX('7_do 30 r.ż.'!B3:G28,MATCH(17,B4:B29,0),1)</f>
        <v>niżański</v>
      </c>
      <c r="D20" s="6">
        <f>INDEX('7_do 30 r.ż.'!B3:G28,MATCH(17,B4:B29,0),2)</f>
        <v>844</v>
      </c>
      <c r="E20" s="61">
        <f>INDEX('7_do 30 r.ż.'!B3:G28,MATCH(17,B4:B29,0),3)</f>
        <v>883</v>
      </c>
      <c r="F20" s="6">
        <f>INDEX('7_do 30 r.ż.'!B3:G28,MATCH(17,B4:B29,0),4)</f>
        <v>-39</v>
      </c>
      <c r="G20" s="61">
        <f>INDEX('7_do 30 r.ż.'!B3:G28,MATCH(17,B4:B29,0),5)</f>
        <v>953</v>
      </c>
      <c r="H20" s="6">
        <f>INDEX('7_do 30 r.ż.'!B3:G28,MATCH(17,B4:B29,0),6)</f>
        <v>-109</v>
      </c>
    </row>
    <row r="21" spans="2:8" x14ac:dyDescent="0.2">
      <c r="B21" s="6">
        <f>RANK('7_do 30 r.ż.'!C20,'7_do 30 r.ż.'!$C$3:'7_do 30 r.ż.'!$C$28,1)+COUNTIF('7_do 30 r.ż.'!$C$3:'7_do 30 r.ż.'!C20,'7_do 30 r.ż.'!C20)-1</f>
        <v>13</v>
      </c>
      <c r="C21" s="5" t="str">
        <f>INDEX('7_do 30 r.ż.'!B3:G28,MATCH(18,B4:B29,0),1)</f>
        <v>leżajski</v>
      </c>
      <c r="D21" s="6">
        <f>INDEX('7_do 30 r.ż.'!B3:G28,MATCH(18,B4:B29,0),2)</f>
        <v>900</v>
      </c>
      <c r="E21" s="61">
        <f>INDEX('7_do 30 r.ż.'!B3:G28,MATCH(18,B4:B29,0),3)</f>
        <v>941</v>
      </c>
      <c r="F21" s="6">
        <f>INDEX('7_do 30 r.ż.'!B3:G28,MATCH(18,B4:B29,0),4)</f>
        <v>-41</v>
      </c>
      <c r="G21" s="61">
        <f>INDEX('7_do 30 r.ż.'!B3:G28,MATCH(18,B4:B29,0),5)</f>
        <v>998</v>
      </c>
      <c r="H21" s="6">
        <f>INDEX('7_do 30 r.ż.'!B3:G28,MATCH(18,B4:B29,0),6)</f>
        <v>-98</v>
      </c>
    </row>
    <row r="22" spans="2:8" x14ac:dyDescent="0.2">
      <c r="B22" s="6">
        <f>RANK('7_do 30 r.ż.'!C21,'7_do 30 r.ż.'!$C$3:'7_do 30 r.ż.'!$C$28,1)+COUNTIF('7_do 30 r.ż.'!$C$3:'7_do 30 r.ż.'!C21,'7_do 30 r.ż.'!C21)-1</f>
        <v>8</v>
      </c>
      <c r="C22" s="5" t="str">
        <f>INDEX('7_do 30 r.ż.'!B3:G28,MATCH(19,B4:B29,0),1)</f>
        <v>strzyżowski</v>
      </c>
      <c r="D22" s="6">
        <f>INDEX('7_do 30 r.ż.'!B3:G28,MATCH(19,B4:B29,0),2)</f>
        <v>919</v>
      </c>
      <c r="E22" s="61">
        <f>INDEX('7_do 30 r.ż.'!B3:G28,MATCH(19,B4:B29,0),3)</f>
        <v>947</v>
      </c>
      <c r="F22" s="6">
        <f>INDEX('7_do 30 r.ż.'!B3:G28,MATCH(19,B4:B29,0),4)</f>
        <v>-28</v>
      </c>
      <c r="G22" s="61">
        <f>INDEX('7_do 30 r.ż.'!B3:G28,MATCH(19,B4:B29,0),5)</f>
        <v>939</v>
      </c>
      <c r="H22" s="6">
        <f>INDEX('7_do 30 r.ż.'!B3:G28,MATCH(19,B4:B29,0),6)</f>
        <v>-20</v>
      </c>
    </row>
    <row r="23" spans="2:8" x14ac:dyDescent="0.2">
      <c r="B23" s="6">
        <f>RANK('7_do 30 r.ż.'!C22,'7_do 30 r.ż.'!$C$3:'7_do 30 r.ż.'!$C$28,1)+COUNTIF('7_do 30 r.ż.'!$C$3:'7_do 30 r.ż.'!C22,'7_do 30 r.ż.'!C22)-1</f>
        <v>19</v>
      </c>
      <c r="C23" s="5" t="str">
        <f>INDEX('7_do 30 r.ż.'!B3:G28,MATCH(20,B4:B29,0),1)</f>
        <v>przeworski</v>
      </c>
      <c r="D23" s="6">
        <f>INDEX('7_do 30 r.ż.'!B3:G28,MATCH(20,B4:B29,0),2)</f>
        <v>982</v>
      </c>
      <c r="E23" s="61">
        <f>INDEX('7_do 30 r.ż.'!B3:G28,MATCH(20,B4:B29,0),3)</f>
        <v>1000</v>
      </c>
      <c r="F23" s="6">
        <f>INDEX('7_do 30 r.ż.'!B3:G28,MATCH(20,B4:B29,0),4)</f>
        <v>-18</v>
      </c>
      <c r="G23" s="61">
        <f>INDEX('7_do 30 r.ż.'!B3:G28,MATCH(20,B4:B29,0),5)</f>
        <v>1038</v>
      </c>
      <c r="H23" s="6">
        <f>INDEX('7_do 30 r.ż.'!B3:G28,MATCH(20,B4:B29,0),6)</f>
        <v>-56</v>
      </c>
    </row>
    <row r="24" spans="2:8" x14ac:dyDescent="0.2">
      <c r="B24" s="6">
        <f>RANK('7_do 30 r.ż.'!C23,'7_do 30 r.ż.'!$C$3:'7_do 30 r.ż.'!$C$28,1)+COUNTIF('7_do 30 r.ż.'!$C$3:'7_do 30 r.ż.'!C23,'7_do 30 r.ż.'!C23)-1</f>
        <v>4</v>
      </c>
      <c r="C24" s="5" t="str">
        <f>INDEX('7_do 30 r.ż.'!B3:G28,MATCH(21,B4:B29,0),1)</f>
        <v>brzozowski</v>
      </c>
      <c r="D24" s="6">
        <f>INDEX('7_do 30 r.ż.'!B3:G28,MATCH(21,B4:B29,0),2)</f>
        <v>1007</v>
      </c>
      <c r="E24" s="61">
        <f>INDEX('7_do 30 r.ż.'!B3:G28,MATCH(21,B4:B29,0),3)</f>
        <v>1058</v>
      </c>
      <c r="F24" s="6">
        <f>INDEX('7_do 30 r.ż.'!B3:G28,MATCH(21,B4:B29,0),4)</f>
        <v>-51</v>
      </c>
      <c r="G24" s="61">
        <f>INDEX('7_do 30 r.ż.'!B3:G28,MATCH(21,B4:B29,0),5)</f>
        <v>1043</v>
      </c>
      <c r="H24" s="6">
        <f>INDEX('7_do 30 r.ż.'!B3:G28,MATCH(21,B4:B29,0),6)</f>
        <v>-36</v>
      </c>
    </row>
    <row r="25" spans="2:8" x14ac:dyDescent="0.2">
      <c r="B25" s="6">
        <f>RANK('7_do 30 r.ż.'!C24,'7_do 30 r.ż.'!$C$3:'7_do 30 r.ż.'!$C$28,1)+COUNTIF('7_do 30 r.ż.'!$C$3:'7_do 30 r.ż.'!C24,'7_do 30 r.ż.'!C24)-1</f>
        <v>1</v>
      </c>
      <c r="C25" s="5" t="str">
        <f>INDEX('7_do 30 r.ż.'!B3:G28,MATCH(22,B4:B29,0),1)</f>
        <v>Rzeszów</v>
      </c>
      <c r="D25" s="6">
        <f>INDEX('7_do 30 r.ż.'!B3:G28,MATCH(22,B4:B29,0),2)</f>
        <v>1008</v>
      </c>
      <c r="E25" s="61">
        <f>INDEX('7_do 30 r.ż.'!B3:G28,MATCH(22,B4:B29,0),3)</f>
        <v>1000</v>
      </c>
      <c r="F25" s="6">
        <f>INDEX('7_do 30 r.ż.'!B3:G28,MATCH(22,B4:B29,0),4)</f>
        <v>8</v>
      </c>
      <c r="G25" s="61">
        <f>INDEX('7_do 30 r.ż.'!B3:G28,MATCH(22,B4:B29,0),5)</f>
        <v>1136</v>
      </c>
      <c r="H25" s="6">
        <f>INDEX('7_do 30 r.ż.'!B3:G28,MATCH(22,B4:B29,0),6)</f>
        <v>-128</v>
      </c>
    </row>
    <row r="26" spans="2:8" x14ac:dyDescent="0.2">
      <c r="B26" s="6">
        <f>RANK('7_do 30 r.ż.'!C25,'7_do 30 r.ż.'!$C$3:'7_do 30 r.ż.'!$C$28,1)+COUNTIF('7_do 30 r.ż.'!$C$3:'7_do 30 r.ż.'!C25,'7_do 30 r.ż.'!C25)-1</f>
        <v>5</v>
      </c>
      <c r="C26" s="5" t="str">
        <f>INDEX('7_do 30 r.ż.'!B3:G28,MATCH(23,B4:B29,0),1)</f>
        <v>jarosławski</v>
      </c>
      <c r="D26" s="6">
        <f>INDEX('7_do 30 r.ż.'!B3:G28,MATCH(23,B4:B29,0),2)</f>
        <v>1208</v>
      </c>
      <c r="E26" s="61">
        <f>INDEX('7_do 30 r.ż.'!B3:G28,MATCH(23,B4:B29,0),3)</f>
        <v>1324</v>
      </c>
      <c r="F26" s="6">
        <f>INDEX('7_do 30 r.ż.'!B3:G28,MATCH(23,B4:B29,0),4)</f>
        <v>-116</v>
      </c>
      <c r="G26" s="61">
        <f>INDEX('7_do 30 r.ż.'!B3:G28,MATCH(23,B4:B29,0),5)</f>
        <v>1369</v>
      </c>
      <c r="H26" s="6">
        <f>INDEX('7_do 30 r.ż.'!B3:G28,MATCH(23,B4:B29,0),6)</f>
        <v>-161</v>
      </c>
    </row>
    <row r="27" spans="2:8" x14ac:dyDescent="0.2">
      <c r="B27" s="6">
        <f>RANK('7_do 30 r.ż.'!C26,'7_do 30 r.ż.'!$C$3:'7_do 30 r.ż.'!$C$28,1)+COUNTIF('7_do 30 r.ż.'!$C$3:'7_do 30 r.ż.'!C26,'7_do 30 r.ż.'!C26)-1</f>
        <v>22</v>
      </c>
      <c r="C27" s="5" t="str">
        <f>INDEX('7_do 30 r.ż.'!B3:G28,MATCH(24,B4:B29,0),1)</f>
        <v>rzeszowski</v>
      </c>
      <c r="D27" s="6">
        <f>INDEX('7_do 30 r.ż.'!B3:G28,MATCH(24,B4:B29,0),2)</f>
        <v>1270</v>
      </c>
      <c r="E27" s="61">
        <f>INDEX('7_do 30 r.ż.'!B3:G28,MATCH(24,B4:B29,0),3)</f>
        <v>1317</v>
      </c>
      <c r="F27" s="6">
        <f>INDEX('7_do 30 r.ż.'!B3:G28,MATCH(24,B4:B29,0),4)</f>
        <v>-47</v>
      </c>
      <c r="G27" s="61">
        <f>INDEX('7_do 30 r.ż.'!B3:G28,MATCH(24,B4:B29,0),5)</f>
        <v>1488</v>
      </c>
      <c r="H27" s="6">
        <f>INDEX('7_do 30 r.ż.'!B3:G28,MATCH(24,B4:B29,0),6)</f>
        <v>-218</v>
      </c>
    </row>
    <row r="28" spans="2:8" x14ac:dyDescent="0.2">
      <c r="B28" s="6">
        <f>RANK('7_do 30 r.ż.'!C27,'7_do 30 r.ż.'!$C$3:'7_do 30 r.ż.'!$C$28,1)+COUNTIF('7_do 30 r.ż.'!$C$3:'7_do 30 r.ż.'!C27,'7_do 30 r.ż.'!C27)-1</f>
        <v>2</v>
      </c>
      <c r="C28" s="5" t="str">
        <f>INDEX('7_do 30 r.ż.'!B3:G28,MATCH(25,B4:B29,0),1)</f>
        <v>jasielski</v>
      </c>
      <c r="D28" s="6">
        <f>INDEX('7_do 30 r.ż.'!B3:G28,MATCH(25,B4:B29,0),2)</f>
        <v>1301</v>
      </c>
      <c r="E28" s="61">
        <f>INDEX('7_do 30 r.ż.'!B3:G28,MATCH(25,B4:B29,0),3)</f>
        <v>1340</v>
      </c>
      <c r="F28" s="6">
        <f>INDEX('7_do 30 r.ż.'!B3:G28,MATCH(25,B4:B29,0),4)</f>
        <v>-39</v>
      </c>
      <c r="G28" s="61">
        <f>INDEX('7_do 30 r.ż.'!B3:G28,MATCH(25,B4:B29,0),5)</f>
        <v>1287</v>
      </c>
      <c r="H28" s="6">
        <f>INDEX('7_do 30 r.ż.'!B3:G28,MATCH(25,B4:B29,0),6)</f>
        <v>14</v>
      </c>
    </row>
    <row r="29" spans="2:8" ht="15" x14ac:dyDescent="0.25">
      <c r="B29" s="59">
        <f>RANK('7_do 30 r.ż.'!C28,'7_do 30 r.ż.'!$C$3:'7_do 30 r.ż.'!$C$28,1)+COUNTIF('7_do 30 r.ż.'!$C$3:'7_do 30 r.ż.'!C28,'7_do 30 r.ż.'!C28)-1</f>
        <v>26</v>
      </c>
      <c r="C29" s="58" t="str">
        <f>INDEX('7_do 30 r.ż.'!B3:G28,MATCH(26,B4:B29,0),1)</f>
        <v>województwo</v>
      </c>
      <c r="D29" s="59">
        <f>INDEX('7_do 30 r.ż.'!B3:G28,MATCH(26,B4:B29,0),2)</f>
        <v>18002</v>
      </c>
      <c r="E29" s="63">
        <f>INDEX('7_do 30 r.ż.'!B3:G28,MATCH(26,B4:B29,0),3)</f>
        <v>18800</v>
      </c>
      <c r="F29" s="59">
        <f>INDEX('7_do 30 r.ż.'!B3:G28,MATCH(26,B4:B29,0),4)</f>
        <v>-798</v>
      </c>
      <c r="G29" s="63">
        <f>INDEX('7_do 30 r.ż.'!B3:G28,MATCH(26,B4:B29,0),5)</f>
        <v>19329</v>
      </c>
      <c r="H29" s="59">
        <f>INDEX('7_do 30 r.ż.'!B3:G28,MATCH(26,B4:B29,0),6)</f>
        <v>-1327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28515625" style="3" customWidth="1"/>
    <col min="3" max="3" width="14.7109375" style="3" customWidth="1"/>
    <col min="4" max="4" width="14.140625" style="3" customWidth="1"/>
    <col min="5" max="5" width="16.5703125" style="3" customWidth="1"/>
    <col min="6" max="6" width="13.7109375" style="3" customWidth="1"/>
    <col min="7" max="7" width="17.28515625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46"/>
      <c r="D1" s="46"/>
      <c r="E1" s="46"/>
      <c r="F1" s="46"/>
      <c r="G1" s="46"/>
    </row>
    <row r="2" spans="2:8" ht="57" x14ac:dyDescent="0.2">
      <c r="B2" s="55" t="s">
        <v>27</v>
      </c>
      <c r="C2" s="56" t="s">
        <v>126</v>
      </c>
      <c r="D2" s="57" t="s">
        <v>109</v>
      </c>
      <c r="E2" s="56" t="s">
        <v>28</v>
      </c>
      <c r="F2" s="57" t="s">
        <v>127</v>
      </c>
      <c r="G2" s="56" t="s">
        <v>26</v>
      </c>
    </row>
    <row r="3" spans="2:8" x14ac:dyDescent="0.2">
      <c r="B3" s="5" t="s">
        <v>0</v>
      </c>
      <c r="C3" s="45">
        <v>271</v>
      </c>
      <c r="D3" s="61">
        <v>280</v>
      </c>
      <c r="E3" s="45">
        <f t="shared" ref="E3:E27" si="0">SUM(C3)-D3</f>
        <v>-9</v>
      </c>
      <c r="F3" s="61">
        <v>274</v>
      </c>
      <c r="G3" s="45">
        <f t="shared" ref="G3:G27" si="1">SUM(C3)-F3</f>
        <v>-3</v>
      </c>
      <c r="H3" s="7"/>
    </row>
    <row r="4" spans="2:8" x14ac:dyDescent="0.2">
      <c r="B4" s="5" t="s">
        <v>1</v>
      </c>
      <c r="C4" s="45">
        <v>1006</v>
      </c>
      <c r="D4" s="61">
        <v>1025</v>
      </c>
      <c r="E4" s="45">
        <f t="shared" si="0"/>
        <v>-19</v>
      </c>
      <c r="F4" s="61">
        <v>1046</v>
      </c>
      <c r="G4" s="45">
        <f t="shared" si="1"/>
        <v>-40</v>
      </c>
      <c r="H4" s="7"/>
    </row>
    <row r="5" spans="2:8" x14ac:dyDescent="0.2">
      <c r="B5" s="5" t="s">
        <v>2</v>
      </c>
      <c r="C5" s="45">
        <v>606</v>
      </c>
      <c r="D5" s="61">
        <v>610</v>
      </c>
      <c r="E5" s="45">
        <f t="shared" si="0"/>
        <v>-4</v>
      </c>
      <c r="F5" s="61">
        <v>642</v>
      </c>
      <c r="G5" s="45">
        <f t="shared" si="1"/>
        <v>-36</v>
      </c>
      <c r="H5" s="7"/>
    </row>
    <row r="6" spans="2:8" x14ac:dyDescent="0.2">
      <c r="B6" s="5" t="s">
        <v>3</v>
      </c>
      <c r="C6" s="45">
        <v>1132</v>
      </c>
      <c r="D6" s="61">
        <v>1153</v>
      </c>
      <c r="E6" s="45">
        <f t="shared" si="0"/>
        <v>-21</v>
      </c>
      <c r="F6" s="61">
        <v>1234</v>
      </c>
      <c r="G6" s="45">
        <f t="shared" si="1"/>
        <v>-102</v>
      </c>
      <c r="H6" s="7"/>
    </row>
    <row r="7" spans="2:8" x14ac:dyDescent="0.2">
      <c r="B7" s="5" t="s">
        <v>4</v>
      </c>
      <c r="C7" s="45">
        <v>1177</v>
      </c>
      <c r="D7" s="61">
        <v>1185</v>
      </c>
      <c r="E7" s="45">
        <f t="shared" si="0"/>
        <v>-8</v>
      </c>
      <c r="F7" s="61">
        <v>1204</v>
      </c>
      <c r="G7" s="45">
        <f t="shared" si="1"/>
        <v>-27</v>
      </c>
      <c r="H7" s="7"/>
    </row>
    <row r="8" spans="2:8" x14ac:dyDescent="0.2">
      <c r="B8" s="5" t="s">
        <v>5</v>
      </c>
      <c r="C8" s="45">
        <v>450</v>
      </c>
      <c r="D8" s="61">
        <v>456</v>
      </c>
      <c r="E8" s="45">
        <f t="shared" si="0"/>
        <v>-6</v>
      </c>
      <c r="F8" s="61">
        <v>499</v>
      </c>
      <c r="G8" s="45">
        <f t="shared" si="1"/>
        <v>-49</v>
      </c>
      <c r="H8" s="7"/>
    </row>
    <row r="9" spans="2:8" x14ac:dyDescent="0.2">
      <c r="B9" s="9" t="s">
        <v>6</v>
      </c>
      <c r="C9" s="45">
        <v>578</v>
      </c>
      <c r="D9" s="61">
        <v>579</v>
      </c>
      <c r="E9" s="45">
        <f t="shared" si="0"/>
        <v>-1</v>
      </c>
      <c r="F9" s="61">
        <v>577</v>
      </c>
      <c r="G9" s="45">
        <f t="shared" si="1"/>
        <v>1</v>
      </c>
      <c r="H9" s="7"/>
    </row>
    <row r="10" spans="2:8" x14ac:dyDescent="0.2">
      <c r="B10" s="5" t="s">
        <v>7</v>
      </c>
      <c r="C10" s="45">
        <v>441</v>
      </c>
      <c r="D10" s="61">
        <v>447</v>
      </c>
      <c r="E10" s="45">
        <f t="shared" si="0"/>
        <v>-6</v>
      </c>
      <c r="F10" s="61">
        <v>440</v>
      </c>
      <c r="G10" s="45">
        <f t="shared" si="1"/>
        <v>1</v>
      </c>
      <c r="H10" s="7"/>
    </row>
    <row r="11" spans="2:8" x14ac:dyDescent="0.2">
      <c r="B11" s="5" t="s">
        <v>8</v>
      </c>
      <c r="C11" s="45">
        <v>763</v>
      </c>
      <c r="D11" s="61">
        <v>771</v>
      </c>
      <c r="E11" s="45">
        <f t="shared" si="0"/>
        <v>-8</v>
      </c>
      <c r="F11" s="61">
        <v>789</v>
      </c>
      <c r="G11" s="45">
        <f t="shared" si="1"/>
        <v>-26</v>
      </c>
      <c r="H11" s="7"/>
    </row>
    <row r="12" spans="2:8" x14ac:dyDescent="0.2">
      <c r="B12" s="5" t="s">
        <v>9</v>
      </c>
      <c r="C12" s="45">
        <v>500</v>
      </c>
      <c r="D12" s="61">
        <v>523</v>
      </c>
      <c r="E12" s="45">
        <f t="shared" si="0"/>
        <v>-23</v>
      </c>
      <c r="F12" s="61">
        <v>507</v>
      </c>
      <c r="G12" s="45">
        <f t="shared" si="1"/>
        <v>-7</v>
      </c>
      <c r="H12" s="7"/>
    </row>
    <row r="13" spans="2:8" x14ac:dyDescent="0.2">
      <c r="B13" s="5" t="s">
        <v>10</v>
      </c>
      <c r="C13" s="45">
        <v>618</v>
      </c>
      <c r="D13" s="61">
        <v>658</v>
      </c>
      <c r="E13" s="45">
        <f t="shared" si="0"/>
        <v>-40</v>
      </c>
      <c r="F13" s="61">
        <v>759</v>
      </c>
      <c r="G13" s="45">
        <f t="shared" si="1"/>
        <v>-141</v>
      </c>
      <c r="H13" s="7"/>
    </row>
    <row r="14" spans="2:8" x14ac:dyDescent="0.2">
      <c r="B14" s="5" t="s">
        <v>11</v>
      </c>
      <c r="C14" s="45">
        <v>706</v>
      </c>
      <c r="D14" s="61">
        <v>716</v>
      </c>
      <c r="E14" s="45">
        <f t="shared" si="0"/>
        <v>-10</v>
      </c>
      <c r="F14" s="61">
        <v>701</v>
      </c>
      <c r="G14" s="45">
        <f t="shared" si="1"/>
        <v>5</v>
      </c>
      <c r="H14" s="7"/>
    </row>
    <row r="15" spans="2:8" x14ac:dyDescent="0.2">
      <c r="B15" s="5" t="s">
        <v>12</v>
      </c>
      <c r="C15" s="45">
        <v>766</v>
      </c>
      <c r="D15" s="61">
        <v>793</v>
      </c>
      <c r="E15" s="45">
        <f t="shared" si="0"/>
        <v>-27</v>
      </c>
      <c r="F15" s="61">
        <v>838</v>
      </c>
      <c r="G15" s="45">
        <f t="shared" si="1"/>
        <v>-72</v>
      </c>
      <c r="H15" s="7"/>
    </row>
    <row r="16" spans="2:8" x14ac:dyDescent="0.2">
      <c r="B16" s="5" t="s">
        <v>13</v>
      </c>
      <c r="C16" s="45">
        <v>761</v>
      </c>
      <c r="D16" s="61">
        <v>771</v>
      </c>
      <c r="E16" s="45">
        <f t="shared" si="0"/>
        <v>-10</v>
      </c>
      <c r="F16" s="61">
        <v>816</v>
      </c>
      <c r="G16" s="45">
        <f t="shared" si="1"/>
        <v>-55</v>
      </c>
      <c r="H16" s="7"/>
    </row>
    <row r="17" spans="2:8" x14ac:dyDescent="0.2">
      <c r="B17" s="5" t="s">
        <v>14</v>
      </c>
      <c r="C17" s="45">
        <v>745</v>
      </c>
      <c r="D17" s="61">
        <v>738</v>
      </c>
      <c r="E17" s="45">
        <f t="shared" si="0"/>
        <v>7</v>
      </c>
      <c r="F17" s="61">
        <v>829</v>
      </c>
      <c r="G17" s="45">
        <f t="shared" si="1"/>
        <v>-84</v>
      </c>
      <c r="H17" s="7"/>
    </row>
    <row r="18" spans="2:8" x14ac:dyDescent="0.2">
      <c r="B18" s="5" t="s">
        <v>15</v>
      </c>
      <c r="C18" s="45">
        <v>626</v>
      </c>
      <c r="D18" s="61">
        <v>647</v>
      </c>
      <c r="E18" s="45">
        <f t="shared" si="0"/>
        <v>-21</v>
      </c>
      <c r="F18" s="61">
        <v>687</v>
      </c>
      <c r="G18" s="45">
        <f t="shared" si="1"/>
        <v>-61</v>
      </c>
      <c r="H18" s="7"/>
    </row>
    <row r="19" spans="2:8" x14ac:dyDescent="0.2">
      <c r="B19" s="5" t="s">
        <v>16</v>
      </c>
      <c r="C19" s="45">
        <v>1223</v>
      </c>
      <c r="D19" s="61">
        <v>1297</v>
      </c>
      <c r="E19" s="45">
        <f t="shared" si="0"/>
        <v>-74</v>
      </c>
      <c r="F19" s="61">
        <v>1325</v>
      </c>
      <c r="G19" s="45">
        <f t="shared" si="1"/>
        <v>-102</v>
      </c>
      <c r="H19" s="7"/>
    </row>
    <row r="20" spans="2:8" x14ac:dyDescent="0.2">
      <c r="B20" s="5" t="s">
        <v>17</v>
      </c>
      <c r="C20" s="45">
        <v>666</v>
      </c>
      <c r="D20" s="61">
        <v>650</v>
      </c>
      <c r="E20" s="45">
        <f t="shared" si="0"/>
        <v>16</v>
      </c>
      <c r="F20" s="61">
        <v>597</v>
      </c>
      <c r="G20" s="45">
        <f t="shared" si="1"/>
        <v>69</v>
      </c>
      <c r="H20" s="7"/>
    </row>
    <row r="21" spans="2:8" x14ac:dyDescent="0.2">
      <c r="B21" s="5" t="s">
        <v>18</v>
      </c>
      <c r="C21" s="45">
        <v>542</v>
      </c>
      <c r="D21" s="61">
        <v>544</v>
      </c>
      <c r="E21" s="45">
        <f t="shared" si="0"/>
        <v>-2</v>
      </c>
      <c r="F21" s="61">
        <v>630</v>
      </c>
      <c r="G21" s="45">
        <f t="shared" si="1"/>
        <v>-88</v>
      </c>
      <c r="H21" s="7"/>
    </row>
    <row r="22" spans="2:8" x14ac:dyDescent="0.2">
      <c r="B22" s="5" t="s">
        <v>19</v>
      </c>
      <c r="C22" s="45">
        <v>775</v>
      </c>
      <c r="D22" s="61">
        <v>806</v>
      </c>
      <c r="E22" s="45">
        <f t="shared" si="0"/>
        <v>-31</v>
      </c>
      <c r="F22" s="61">
        <v>838</v>
      </c>
      <c r="G22" s="45">
        <f t="shared" si="1"/>
        <v>-63</v>
      </c>
      <c r="H22" s="7"/>
    </row>
    <row r="23" spans="2:8" x14ac:dyDescent="0.2">
      <c r="B23" s="5" t="s">
        <v>20</v>
      </c>
      <c r="C23" s="45">
        <v>376</v>
      </c>
      <c r="D23" s="61">
        <v>389</v>
      </c>
      <c r="E23" s="45">
        <f t="shared" si="0"/>
        <v>-13</v>
      </c>
      <c r="F23" s="61">
        <v>442</v>
      </c>
      <c r="G23" s="45">
        <f t="shared" si="1"/>
        <v>-66</v>
      </c>
      <c r="H23" s="7"/>
    </row>
    <row r="24" spans="2:8" x14ac:dyDescent="0.2">
      <c r="B24" s="5" t="s">
        <v>21</v>
      </c>
      <c r="C24" s="45">
        <v>180</v>
      </c>
      <c r="D24" s="61">
        <v>189</v>
      </c>
      <c r="E24" s="45">
        <f t="shared" si="0"/>
        <v>-9</v>
      </c>
      <c r="F24" s="61">
        <v>192</v>
      </c>
      <c r="G24" s="45">
        <f t="shared" si="1"/>
        <v>-12</v>
      </c>
      <c r="H24" s="7"/>
    </row>
    <row r="25" spans="2:8" x14ac:dyDescent="0.2">
      <c r="B25" s="5" t="s">
        <v>22</v>
      </c>
      <c r="C25" s="45">
        <v>753</v>
      </c>
      <c r="D25" s="61">
        <v>760</v>
      </c>
      <c r="E25" s="45">
        <f t="shared" si="0"/>
        <v>-7</v>
      </c>
      <c r="F25" s="61">
        <v>822</v>
      </c>
      <c r="G25" s="45">
        <f t="shared" si="1"/>
        <v>-69</v>
      </c>
      <c r="H25" s="7"/>
    </row>
    <row r="26" spans="2:8" x14ac:dyDescent="0.2">
      <c r="B26" s="5" t="s">
        <v>23</v>
      </c>
      <c r="C26" s="45">
        <v>1492</v>
      </c>
      <c r="D26" s="61">
        <v>1521</v>
      </c>
      <c r="E26" s="45">
        <f t="shared" si="0"/>
        <v>-29</v>
      </c>
      <c r="F26" s="61">
        <v>1635</v>
      </c>
      <c r="G26" s="45">
        <f t="shared" si="1"/>
        <v>-143</v>
      </c>
      <c r="H26" s="7"/>
    </row>
    <row r="27" spans="2:8" x14ac:dyDescent="0.2">
      <c r="B27" s="5" t="s">
        <v>24</v>
      </c>
      <c r="C27" s="45">
        <v>335</v>
      </c>
      <c r="D27" s="61">
        <v>348</v>
      </c>
      <c r="E27" s="45">
        <f t="shared" si="0"/>
        <v>-13</v>
      </c>
      <c r="F27" s="61">
        <v>403</v>
      </c>
      <c r="G27" s="45">
        <f t="shared" si="1"/>
        <v>-68</v>
      </c>
      <c r="H27" s="7"/>
    </row>
    <row r="28" spans="2:8" ht="15" x14ac:dyDescent="0.25">
      <c r="B28" s="58" t="s">
        <v>25</v>
      </c>
      <c r="C28" s="79">
        <f>SUM(C3:C27)</f>
        <v>17488</v>
      </c>
      <c r="D28" s="63">
        <f>SUM(D3:D27)</f>
        <v>17856</v>
      </c>
      <c r="E28" s="79">
        <f>SUM(E3:E27)</f>
        <v>-368</v>
      </c>
      <c r="F28" s="63">
        <f>SUM(F3:F27)</f>
        <v>18726</v>
      </c>
      <c r="G28" s="79">
        <f>SUM(G3:G27)</f>
        <v>-1238</v>
      </c>
      <c r="H28" s="7"/>
    </row>
    <row r="29" spans="2:8" x14ac:dyDescent="0.2">
      <c r="E29" s="19"/>
      <c r="G29" s="7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7" style="3" customWidth="1"/>
    <col min="3" max="3" width="25.5703125" style="3" customWidth="1"/>
    <col min="4" max="6" width="16.140625" style="3" customWidth="1"/>
    <col min="7" max="7" width="15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T('8_pow. 50 r.ż.'!B2)</f>
        <v>powiaty</v>
      </c>
      <c r="D3" s="55" t="str">
        <f>T('8_pow. 50 r.ż.'!C2)</f>
        <v>liczba bezrobotnych 50+ stan na 31 III '23 r.</v>
      </c>
      <c r="E3" s="55" t="str">
        <f>T('8_pow. 50 r.ż.'!D2)</f>
        <v>liczba bezrobotnych 50+ stan na 28 II '23 r.</v>
      </c>
      <c r="F3" s="55" t="str">
        <f>T('8_pow. 50 r.ż.'!E2)</f>
        <v>wzrost/spadek do poprzedniego  miesiąca</v>
      </c>
      <c r="G3" s="55" t="str">
        <f>T('8_pow. 50 r.ż.'!F2)</f>
        <v>liczba bezrobotnych 50+ stan na 31 III '22 r.</v>
      </c>
      <c r="H3" s="55" t="str">
        <f>T('8_pow. 50 r.ż.'!G2)</f>
        <v>wzrost/spadek do analogicznego okresu ubr.</v>
      </c>
    </row>
    <row r="4" spans="2:8" x14ac:dyDescent="0.2">
      <c r="B4" s="6">
        <f>RANK('8_pow. 50 r.ż.'!C3,'8_pow. 50 r.ż.'!$C$3:'8_pow. 50 r.ż.'!$C$28,1)+COUNTIF('8_pow. 50 r.ż.'!$C$3:'8_pow. 50 r.ż.'!C3,'8_pow. 50 r.ż.'!C3)-1</f>
        <v>2</v>
      </c>
      <c r="C4" s="5" t="str">
        <f>INDEX('8_pow. 50 r.ż.'!B3:G28,MATCH(1,B4:B29,0),1)</f>
        <v>Krosno</v>
      </c>
      <c r="D4" s="25">
        <f>INDEX('8_pow. 50 r.ż.'!B3:G28,MATCH(1,B4:B29,0),2)</f>
        <v>180</v>
      </c>
      <c r="E4" s="61">
        <f>INDEX('8_pow. 50 r.ż.'!B3:G28,MATCH(1,B4:B29,0),3)</f>
        <v>189</v>
      </c>
      <c r="F4" s="6">
        <f>INDEX('8_pow. 50 r.ż.'!B3:G28,MATCH(1,B4:B29,0),4)</f>
        <v>-9</v>
      </c>
      <c r="G4" s="61">
        <f>INDEX('8_pow. 50 r.ż.'!B3:G28,MATCH(1,B4:B29,0),5)</f>
        <v>192</v>
      </c>
      <c r="H4" s="6">
        <f>INDEX('8_pow. 50 r.ż.'!B3:G28,MATCH(1,B4:B29,0),6)</f>
        <v>-12</v>
      </c>
    </row>
    <row r="5" spans="2:8" x14ac:dyDescent="0.2">
      <c r="B5" s="6">
        <f>RANK('8_pow. 50 r.ż.'!C4,'8_pow. 50 r.ż.'!$C$3:'8_pow. 50 r.ż.'!$C$28,1)+COUNTIF('8_pow. 50 r.ż.'!$C$3:'8_pow. 50 r.ż.'!C4,'8_pow. 50 r.ż.'!C4)-1</f>
        <v>21</v>
      </c>
      <c r="C5" s="5" t="str">
        <f>INDEX('8_pow. 50 r.ż.'!B3:G28,MATCH(2,B4:B29,0),1)</f>
        <v>bieszczadzki</v>
      </c>
      <c r="D5" s="6">
        <f>INDEX('8_pow. 50 r.ż.'!B3:G28,MATCH(2,B4:B29,0),2)</f>
        <v>271</v>
      </c>
      <c r="E5" s="61">
        <f>INDEX('8_pow. 50 r.ż.'!B3:G28,MATCH(2,B4:B29,0),3)</f>
        <v>280</v>
      </c>
      <c r="F5" s="6">
        <f>INDEX('8_pow. 50 r.ż.'!B3:G28,MATCH(2,B4:B29,0),4)</f>
        <v>-9</v>
      </c>
      <c r="G5" s="61">
        <f>INDEX('8_pow. 50 r.ż.'!B3:G28,MATCH(2,B4:B29,0),5)</f>
        <v>274</v>
      </c>
      <c r="H5" s="6">
        <f>INDEX('8_pow. 50 r.ż.'!B3:G28,MATCH(2,B4:B29,0),6)</f>
        <v>-3</v>
      </c>
    </row>
    <row r="6" spans="2:8" x14ac:dyDescent="0.2">
      <c r="B6" s="6">
        <f>RANK('8_pow. 50 r.ż.'!C5,'8_pow. 50 r.ż.'!$C$3:'8_pow. 50 r.ż.'!$C$28,1)+COUNTIF('8_pow. 50 r.ż.'!$C$3:'8_pow. 50 r.ż.'!C5,'8_pow. 50 r.ż.'!C5)-1</f>
        <v>10</v>
      </c>
      <c r="C6" s="5" t="str">
        <f>INDEX('8_pow. 50 r.ż.'!B3:G28,MATCH(3,B4:B29,0),1)</f>
        <v>Tarnobrzeg</v>
      </c>
      <c r="D6" s="6">
        <f>INDEX('8_pow. 50 r.ż.'!B3:G28,MATCH(3,B4:B29,0),2)</f>
        <v>335</v>
      </c>
      <c r="E6" s="61">
        <f>INDEX('8_pow. 50 r.ż.'!B3:G28,MATCH(3,B4:B29,0),3)</f>
        <v>348</v>
      </c>
      <c r="F6" s="6">
        <f>INDEX('8_pow. 50 r.ż.'!B3:G28,MATCH(3,B4:B29,0),4)</f>
        <v>-13</v>
      </c>
      <c r="G6" s="61">
        <f>INDEX('8_pow. 50 r.ż.'!B3:G28,MATCH(3,B4:B29,0),5)</f>
        <v>403</v>
      </c>
      <c r="H6" s="6">
        <f>INDEX('8_pow. 50 r.ż.'!B3:G28,MATCH(3,B4:B29,0),6)</f>
        <v>-68</v>
      </c>
    </row>
    <row r="7" spans="2:8" x14ac:dyDescent="0.2">
      <c r="B7" s="6">
        <f>RANK('8_pow. 50 r.ż.'!C6,'8_pow. 50 r.ż.'!$C$3:'8_pow. 50 r.ż.'!$C$28,1)+COUNTIF('8_pow. 50 r.ż.'!$C$3:'8_pow. 50 r.ż.'!C6,'8_pow. 50 r.ż.'!C6)-1</f>
        <v>22</v>
      </c>
      <c r="C7" s="5" t="str">
        <f>INDEX('8_pow. 50 r.ż.'!B3:G28,MATCH(4,B4:B29,0),1)</f>
        <v xml:space="preserve">tarnobrzeski </v>
      </c>
      <c r="D7" s="6">
        <f>INDEX('8_pow. 50 r.ż.'!B3:G28,MATCH(4,B4:B29,0),2)</f>
        <v>376</v>
      </c>
      <c r="E7" s="61">
        <f>INDEX('8_pow. 50 r.ż.'!B3:G28,MATCH(4,B4:B29,0),3)</f>
        <v>389</v>
      </c>
      <c r="F7" s="6">
        <f>INDEX('8_pow. 50 r.ż.'!B3:G28,MATCH(4,B4:B29,0),4)</f>
        <v>-13</v>
      </c>
      <c r="G7" s="61">
        <f>INDEX('8_pow. 50 r.ż.'!B3:G28,MATCH(4,B4:B29,0),5)</f>
        <v>442</v>
      </c>
      <c r="H7" s="6">
        <f>INDEX('8_pow. 50 r.ż.'!B3:G28,MATCH(4,B4:B29,0),6)</f>
        <v>-66</v>
      </c>
    </row>
    <row r="8" spans="2:8" x14ac:dyDescent="0.2">
      <c r="B8" s="6">
        <f>RANK('8_pow. 50 r.ż.'!C7,'8_pow. 50 r.ż.'!$C$3:'8_pow. 50 r.ż.'!$C$28,1)+COUNTIF('8_pow. 50 r.ż.'!$C$3:'8_pow. 50 r.ż.'!C7,'8_pow. 50 r.ż.'!C7)-1</f>
        <v>23</v>
      </c>
      <c r="C8" s="5" t="str">
        <f>INDEX('8_pow. 50 r.ż.'!B3:G28,MATCH(5,B4:B29,0),1)</f>
        <v>leski</v>
      </c>
      <c r="D8" s="6">
        <f>INDEX('8_pow. 50 r.ż.'!B3:G28,MATCH(5,B4:B29,0),2)</f>
        <v>441</v>
      </c>
      <c r="E8" s="61">
        <f>INDEX('8_pow. 50 r.ż.'!B3:G28,MATCH(5,B4:B29,0),3)</f>
        <v>447</v>
      </c>
      <c r="F8" s="6">
        <f>INDEX('8_pow. 50 r.ż.'!B3:G28,MATCH(5,B4:B29,0),4)</f>
        <v>-6</v>
      </c>
      <c r="G8" s="61">
        <f>INDEX('8_pow. 50 r.ż.'!B3:G28,MATCH(5,B4:B29,0),5)</f>
        <v>440</v>
      </c>
      <c r="H8" s="6">
        <f>INDEX('8_pow. 50 r.ż.'!B3:G28,MATCH(5,B4:B29,0),6)</f>
        <v>1</v>
      </c>
    </row>
    <row r="9" spans="2:8" x14ac:dyDescent="0.2">
      <c r="B9" s="6">
        <f>RANK('8_pow. 50 r.ż.'!C8,'8_pow. 50 r.ż.'!$C$3:'8_pow. 50 r.ż.'!$C$28,1)+COUNTIF('8_pow. 50 r.ż.'!$C$3:'8_pow. 50 r.ż.'!C8,'8_pow. 50 r.ż.'!C8)-1</f>
        <v>6</v>
      </c>
      <c r="C9" s="5" t="str">
        <f>INDEX('8_pow. 50 r.ż.'!B3:G28,MATCH(6,B4:B29,0),1)</f>
        <v>kolbuszowski</v>
      </c>
      <c r="D9" s="6">
        <f>INDEX('8_pow. 50 r.ż.'!B3:G28,MATCH(6,B4:B29,0),2)</f>
        <v>450</v>
      </c>
      <c r="E9" s="61">
        <f>INDEX('8_pow. 50 r.ż.'!B3:G28,MATCH(6,B4:B29,0),3)</f>
        <v>456</v>
      </c>
      <c r="F9" s="6">
        <f>INDEX('8_pow. 50 r.ż.'!B3:G28,MATCH(6,B4:B29,0),4)</f>
        <v>-6</v>
      </c>
      <c r="G9" s="61">
        <f>INDEX('8_pow. 50 r.ż.'!B3:G28,MATCH(6,B4:B29,0),5)</f>
        <v>499</v>
      </c>
      <c r="H9" s="6">
        <f>INDEX('8_pow. 50 r.ż.'!B3:G28,MATCH(6,B4:B29,0),6)</f>
        <v>-49</v>
      </c>
    </row>
    <row r="10" spans="2:8" x14ac:dyDescent="0.2">
      <c r="B10" s="6">
        <f>RANK('8_pow. 50 r.ż.'!C9,'8_pow. 50 r.ż.'!$C$3:'8_pow. 50 r.ż.'!$C$28,1)+COUNTIF('8_pow. 50 r.ż.'!$C$3:'8_pow. 50 r.ż.'!C9,'8_pow. 50 r.ż.'!C9)-1</f>
        <v>9</v>
      </c>
      <c r="C10" s="9" t="str">
        <f>INDEX('8_pow. 50 r.ż.'!B3:G28,MATCH(7,B4:B29,0),1)</f>
        <v>lubaczowski</v>
      </c>
      <c r="D10" s="6">
        <f>INDEX('8_pow. 50 r.ż.'!B3:G28,MATCH(7,B4:B29,0),2)</f>
        <v>500</v>
      </c>
      <c r="E10" s="61">
        <f>INDEX('8_pow. 50 r.ż.'!B3:G28,MATCH(7,B4:B29,0),3)</f>
        <v>523</v>
      </c>
      <c r="F10" s="6">
        <f>INDEX('8_pow. 50 r.ż.'!B3:G28,MATCH(7,B4:B29,0),4)</f>
        <v>-23</v>
      </c>
      <c r="G10" s="61">
        <f>INDEX('8_pow. 50 r.ż.'!B3:G28,MATCH(7,B4:B29,0),5)</f>
        <v>507</v>
      </c>
      <c r="H10" s="6">
        <f>INDEX('8_pow. 50 r.ż.'!B3:G28,MATCH(7,B4:B29,0),6)</f>
        <v>-7</v>
      </c>
    </row>
    <row r="11" spans="2:8" x14ac:dyDescent="0.2">
      <c r="B11" s="6">
        <f>RANK('8_pow. 50 r.ż.'!C10,'8_pow. 50 r.ż.'!$C$3:'8_pow. 50 r.ż.'!$C$28,1)+COUNTIF('8_pow. 50 r.ż.'!$C$3:'8_pow. 50 r.ż.'!C10,'8_pow. 50 r.ż.'!C10)-1</f>
        <v>5</v>
      </c>
      <c r="C11" s="5" t="str">
        <f>INDEX('8_pow. 50 r.ż.'!B3:G28,MATCH(8,B4:B29,0),1)</f>
        <v>stalowowolski</v>
      </c>
      <c r="D11" s="6">
        <f>INDEX('8_pow. 50 r.ż.'!B3:G28,MATCH(8,B4:B29,0),2)</f>
        <v>542</v>
      </c>
      <c r="E11" s="61">
        <f>INDEX('8_pow. 50 r.ż.'!B3:G28,MATCH(8,B4:B29,0),3)</f>
        <v>544</v>
      </c>
      <c r="F11" s="6">
        <f>INDEX('8_pow. 50 r.ż.'!B3:G28,MATCH(8,B4:B29,0),4)</f>
        <v>-2</v>
      </c>
      <c r="G11" s="61">
        <f>INDEX('8_pow. 50 r.ż.'!B3:G28,MATCH(8,B4:B29,0),5)</f>
        <v>630</v>
      </c>
      <c r="H11" s="6">
        <f>INDEX('8_pow. 50 r.ż.'!B3:G28,MATCH(8,B4:B29,0),6)</f>
        <v>-88</v>
      </c>
    </row>
    <row r="12" spans="2:8" x14ac:dyDescent="0.2">
      <c r="B12" s="6">
        <f>RANK('8_pow. 50 r.ż.'!C11,'8_pow. 50 r.ż.'!$C$3:'8_pow. 50 r.ż.'!$C$28,1)+COUNTIF('8_pow. 50 r.ż.'!$C$3:'8_pow. 50 r.ż.'!C11,'8_pow. 50 r.ż.'!C11)-1</f>
        <v>18</v>
      </c>
      <c r="C12" s="5" t="str">
        <f>INDEX('8_pow. 50 r.ż.'!B3:G28,MATCH(9,B4:B29,0),1)</f>
        <v>krośnieński</v>
      </c>
      <c r="D12" s="6">
        <f>INDEX('8_pow. 50 r.ż.'!B3:G28,MATCH(9,B4:B29,0),2)</f>
        <v>578</v>
      </c>
      <c r="E12" s="61">
        <f>INDEX('8_pow. 50 r.ż.'!B3:G28,MATCH(9,B4:B29,0),3)</f>
        <v>579</v>
      </c>
      <c r="F12" s="6">
        <f>INDEX('8_pow. 50 r.ż.'!B3:G28,MATCH(9,B4:B29,0),4)</f>
        <v>-1</v>
      </c>
      <c r="G12" s="61">
        <f>INDEX('8_pow. 50 r.ż.'!B3:G28,MATCH(9,B4:B29,0),5)</f>
        <v>577</v>
      </c>
      <c r="H12" s="6">
        <f>INDEX('8_pow. 50 r.ż.'!B3:G28,MATCH(9,B4:B29,0),6)</f>
        <v>1</v>
      </c>
    </row>
    <row r="13" spans="2:8" x14ac:dyDescent="0.2">
      <c r="B13" s="6">
        <f>RANK('8_pow. 50 r.ż.'!C12,'8_pow. 50 r.ż.'!$C$3:'8_pow. 50 r.ż.'!$C$28,1)+COUNTIF('8_pow. 50 r.ż.'!$C$3:'8_pow. 50 r.ż.'!C12,'8_pow. 50 r.ż.'!C12)-1</f>
        <v>7</v>
      </c>
      <c r="C13" s="5" t="str">
        <f>INDEX('8_pow. 50 r.ż.'!B3:G28,MATCH(10,B4:B29,0),1)</f>
        <v>dębicki</v>
      </c>
      <c r="D13" s="6">
        <f>INDEX('8_pow. 50 r.ż.'!B3:G28,MATCH(10,B4:B29,0),2)</f>
        <v>606</v>
      </c>
      <c r="E13" s="61">
        <f>INDEX('8_pow. 50 r.ż.'!B3:G28,MATCH(10,B4:B29,0),3)</f>
        <v>610</v>
      </c>
      <c r="F13" s="6">
        <f>INDEX('8_pow. 50 r.ż.'!B3:G28,MATCH(10,B4:B29,0),4)</f>
        <v>-4</v>
      </c>
      <c r="G13" s="61">
        <f>INDEX('8_pow. 50 r.ż.'!B3:G28,MATCH(10,B4:B29,0),5)</f>
        <v>642</v>
      </c>
      <c r="H13" s="6">
        <f>INDEX('8_pow. 50 r.ż.'!B3:G28,MATCH(10,B4:B29,0),6)</f>
        <v>-36</v>
      </c>
    </row>
    <row r="14" spans="2:8" x14ac:dyDescent="0.2">
      <c r="B14" s="6">
        <f>RANK('8_pow. 50 r.ż.'!C13,'8_pow. 50 r.ż.'!$C$3:'8_pow. 50 r.ż.'!$C$28,1)+COUNTIF('8_pow. 50 r.ż.'!$C$3:'8_pow. 50 r.ż.'!C13,'8_pow. 50 r.ż.'!C13)-1</f>
        <v>11</v>
      </c>
      <c r="C14" s="5" t="str">
        <f>INDEX('8_pow. 50 r.ż.'!B3:G28,MATCH(11,B4:B29,0),1)</f>
        <v>łańcucki</v>
      </c>
      <c r="D14" s="6">
        <f>INDEX('8_pow. 50 r.ż.'!B3:G28,MATCH(11,B4:B29,0),2)</f>
        <v>618</v>
      </c>
      <c r="E14" s="61">
        <f>INDEX('8_pow. 50 r.ż.'!B3:G28,MATCH(11,B4:B29,0),3)</f>
        <v>658</v>
      </c>
      <c r="F14" s="6">
        <f>INDEX('8_pow. 50 r.ż.'!B3:G28,MATCH(11,B4:B29,0),4)</f>
        <v>-40</v>
      </c>
      <c r="G14" s="61">
        <f>INDEX('8_pow. 50 r.ż.'!B3:G28,MATCH(11,B4:B29,0),5)</f>
        <v>759</v>
      </c>
      <c r="H14" s="6">
        <f>INDEX('8_pow. 50 r.ż.'!B3:G28,MATCH(11,B4:B29,0),6)</f>
        <v>-141</v>
      </c>
    </row>
    <row r="15" spans="2:8" x14ac:dyDescent="0.2">
      <c r="B15" s="6">
        <f>RANK('8_pow. 50 r.ż.'!C14,'8_pow. 50 r.ż.'!$C$3:'8_pow. 50 r.ż.'!$C$28,1)+COUNTIF('8_pow. 50 r.ż.'!$C$3:'8_pow. 50 r.ż.'!C14,'8_pow. 50 r.ż.'!C14)-1</f>
        <v>14</v>
      </c>
      <c r="C15" s="5" t="str">
        <f>INDEX('8_pow. 50 r.ż.'!B3:G28,MATCH(12,B4:B29,0),1)</f>
        <v>ropczycko-sędziszowski</v>
      </c>
      <c r="D15" s="6">
        <f>INDEX('8_pow. 50 r.ż.'!B3:G28,MATCH(12,B4:B29,0),2)</f>
        <v>626</v>
      </c>
      <c r="E15" s="61">
        <f>INDEX('8_pow. 50 r.ż.'!B3:G28,MATCH(12,B4:B29,0),3)</f>
        <v>647</v>
      </c>
      <c r="F15" s="6">
        <f>INDEX('8_pow. 50 r.ż.'!B3:G28,MATCH(12,B4:B29,0),4)</f>
        <v>-21</v>
      </c>
      <c r="G15" s="61">
        <f>INDEX('8_pow. 50 r.ż.'!B3:G28,MATCH(12,B4:B29,0),5)</f>
        <v>687</v>
      </c>
      <c r="H15" s="6">
        <f>INDEX('8_pow. 50 r.ż.'!B3:G28,MATCH(12,B4:B29,0),6)</f>
        <v>-61</v>
      </c>
    </row>
    <row r="16" spans="2:8" x14ac:dyDescent="0.2">
      <c r="B16" s="6">
        <f>RANK('8_pow. 50 r.ż.'!C15,'8_pow. 50 r.ż.'!$C$3:'8_pow. 50 r.ż.'!$C$28,1)+COUNTIF('8_pow. 50 r.ż.'!$C$3:'8_pow. 50 r.ż.'!C15,'8_pow. 50 r.ż.'!C15)-1</f>
        <v>19</v>
      </c>
      <c r="C16" s="5" t="str">
        <f>INDEX('8_pow. 50 r.ż.'!B3:G28,MATCH(13,B4:B29,0),1)</f>
        <v>sanocki</v>
      </c>
      <c r="D16" s="6">
        <f>INDEX('8_pow. 50 r.ż.'!B3:G28,MATCH(13,B4:B29,0),2)</f>
        <v>666</v>
      </c>
      <c r="E16" s="61">
        <f>INDEX('8_pow. 50 r.ż.'!B3:G28,MATCH(13,B4:B29,0),3)</f>
        <v>650</v>
      </c>
      <c r="F16" s="6">
        <f>INDEX('8_pow. 50 r.ż.'!B3:G28,MATCH(13,B4:B29,0),4)</f>
        <v>16</v>
      </c>
      <c r="G16" s="61">
        <f>INDEX('8_pow. 50 r.ż.'!B3:G28,MATCH(13,B4:B29,0),5)</f>
        <v>597</v>
      </c>
      <c r="H16" s="6">
        <f>INDEX('8_pow. 50 r.ż.'!B3:G28,MATCH(13,B4:B29,0),6)</f>
        <v>69</v>
      </c>
    </row>
    <row r="17" spans="2:8" x14ac:dyDescent="0.2">
      <c r="B17" s="6">
        <f>RANK('8_pow. 50 r.ż.'!C16,'8_pow. 50 r.ż.'!$C$3:'8_pow. 50 r.ż.'!$C$28,1)+COUNTIF('8_pow. 50 r.ż.'!$C$3:'8_pow. 50 r.ż.'!C16,'8_pow. 50 r.ż.'!C16)-1</f>
        <v>17</v>
      </c>
      <c r="C17" s="5" t="str">
        <f>INDEX('8_pow. 50 r.ż.'!B3:G28,MATCH(14,B4:B29,0),1)</f>
        <v>mielecki</v>
      </c>
      <c r="D17" s="6">
        <f>INDEX('8_pow. 50 r.ż.'!B3:G28,MATCH(14,B4:B29,0),2)</f>
        <v>706</v>
      </c>
      <c r="E17" s="61">
        <f>INDEX('8_pow. 50 r.ż.'!B3:G28,MATCH(14,B4:B29,0),3)</f>
        <v>716</v>
      </c>
      <c r="F17" s="6">
        <f>INDEX('8_pow. 50 r.ż.'!B3:G28,MATCH(14,B4:B29,0),4)</f>
        <v>-10</v>
      </c>
      <c r="G17" s="61">
        <f>INDEX('8_pow. 50 r.ż.'!B3:G28,MATCH(14,B4:B29,0),5)</f>
        <v>701</v>
      </c>
      <c r="H17" s="6">
        <f>INDEX('8_pow. 50 r.ż.'!B3:G28,MATCH(14,B4:B29,0),6)</f>
        <v>5</v>
      </c>
    </row>
    <row r="18" spans="2:8" x14ac:dyDescent="0.2">
      <c r="B18" s="6">
        <f>RANK('8_pow. 50 r.ż.'!C17,'8_pow. 50 r.ż.'!$C$3:'8_pow. 50 r.ż.'!$C$28,1)+COUNTIF('8_pow. 50 r.ż.'!$C$3:'8_pow. 50 r.ż.'!C17,'8_pow. 50 r.ż.'!C17)-1</f>
        <v>15</v>
      </c>
      <c r="C18" s="5" t="str">
        <f>INDEX('8_pow. 50 r.ż.'!B3:G28,MATCH(15,B4:B29,0),1)</f>
        <v>przeworski</v>
      </c>
      <c r="D18" s="6">
        <f>INDEX('8_pow. 50 r.ż.'!B3:G28,MATCH(15,B4:B29,0),2)</f>
        <v>745</v>
      </c>
      <c r="E18" s="61">
        <f>INDEX('8_pow. 50 r.ż.'!B3:G28,MATCH(15,B4:B29,0),3)</f>
        <v>738</v>
      </c>
      <c r="F18" s="6">
        <f>INDEX('8_pow. 50 r.ż.'!B3:G28,MATCH(15,B4:B29,0),4)</f>
        <v>7</v>
      </c>
      <c r="G18" s="61">
        <f>INDEX('8_pow. 50 r.ż.'!B3:G28,MATCH(15,B4:B29,0),5)</f>
        <v>829</v>
      </c>
      <c r="H18" s="6">
        <f>INDEX('8_pow. 50 r.ż.'!B3:G28,MATCH(15,B4:B29,0),6)</f>
        <v>-84</v>
      </c>
    </row>
    <row r="19" spans="2:8" x14ac:dyDescent="0.2">
      <c r="B19" s="6">
        <f>RANK('8_pow. 50 r.ż.'!C18,'8_pow. 50 r.ż.'!$C$3:'8_pow. 50 r.ż.'!$C$28,1)+COUNTIF('8_pow. 50 r.ż.'!$C$3:'8_pow. 50 r.ż.'!C18,'8_pow. 50 r.ż.'!C18)-1</f>
        <v>12</v>
      </c>
      <c r="C19" s="5" t="str">
        <f>INDEX('8_pow. 50 r.ż.'!B3:G28,MATCH(16,B4:B29,0),1)</f>
        <v>Przemyśl</v>
      </c>
      <c r="D19" s="6">
        <f>INDEX('8_pow. 50 r.ż.'!B3:G28,MATCH(16,B4:B29,0),2)</f>
        <v>753</v>
      </c>
      <c r="E19" s="61">
        <f>INDEX('8_pow. 50 r.ż.'!B3:G28,MATCH(16,B4:B29,0),3)</f>
        <v>760</v>
      </c>
      <c r="F19" s="6">
        <f>INDEX('8_pow. 50 r.ż.'!B3:G28,MATCH(16,B4:B29,0),4)</f>
        <v>-7</v>
      </c>
      <c r="G19" s="61">
        <f>INDEX('8_pow. 50 r.ż.'!B3:G28,MATCH(16,B4:B29,0),5)</f>
        <v>822</v>
      </c>
      <c r="H19" s="6">
        <f>INDEX('8_pow. 50 r.ż.'!B3:G28,MATCH(16,B4:B29,0),6)</f>
        <v>-69</v>
      </c>
    </row>
    <row r="20" spans="2:8" x14ac:dyDescent="0.2">
      <c r="B20" s="6">
        <f>RANK('8_pow. 50 r.ż.'!C19,'8_pow. 50 r.ż.'!$C$3:'8_pow. 50 r.ż.'!$C$28,1)+COUNTIF('8_pow. 50 r.ż.'!$C$3:'8_pow. 50 r.ż.'!C19,'8_pow. 50 r.ż.'!C19)-1</f>
        <v>24</v>
      </c>
      <c r="C20" s="5" t="str">
        <f>INDEX('8_pow. 50 r.ż.'!B3:G28,MATCH(17,B4:B29,0),1)</f>
        <v>przemyski</v>
      </c>
      <c r="D20" s="6">
        <f>INDEX('8_pow. 50 r.ż.'!B3:G28,MATCH(17,B4:B29,0),2)</f>
        <v>761</v>
      </c>
      <c r="E20" s="61">
        <f>INDEX('8_pow. 50 r.ż.'!B3:G28,MATCH(17,B4:B29,0),3)</f>
        <v>771</v>
      </c>
      <c r="F20" s="6">
        <f>INDEX('8_pow. 50 r.ż.'!B3:G28,MATCH(17,B4:B29,0),4)</f>
        <v>-10</v>
      </c>
      <c r="G20" s="61">
        <f>INDEX('8_pow. 50 r.ż.'!B3:G28,MATCH(17,B4:B29,0),5)</f>
        <v>816</v>
      </c>
      <c r="H20" s="6">
        <f>INDEX('8_pow. 50 r.ż.'!B3:G28,MATCH(17,B4:B29,0),6)</f>
        <v>-55</v>
      </c>
    </row>
    <row r="21" spans="2:8" x14ac:dyDescent="0.2">
      <c r="B21" s="6">
        <f>RANK('8_pow. 50 r.ż.'!C20,'8_pow. 50 r.ż.'!$C$3:'8_pow. 50 r.ż.'!$C$28,1)+COUNTIF('8_pow. 50 r.ż.'!$C$3:'8_pow. 50 r.ż.'!C20,'8_pow. 50 r.ż.'!C20)-1</f>
        <v>13</v>
      </c>
      <c r="C21" s="5" t="str">
        <f>INDEX('8_pow. 50 r.ż.'!B3:G28,MATCH(18,B4:B29,0),1)</f>
        <v>leżajski</v>
      </c>
      <c r="D21" s="6">
        <f>INDEX('8_pow. 50 r.ż.'!B3:G28,MATCH(18,B4:B29,0),2)</f>
        <v>763</v>
      </c>
      <c r="E21" s="61">
        <f>INDEX('8_pow. 50 r.ż.'!B3:G28,MATCH(18,B4:B29,0),3)</f>
        <v>771</v>
      </c>
      <c r="F21" s="6">
        <f>INDEX('8_pow. 50 r.ż.'!B3:G28,MATCH(18,B4:B29,0),4)</f>
        <v>-8</v>
      </c>
      <c r="G21" s="61">
        <f>INDEX('8_pow. 50 r.ż.'!B3:G28,MATCH(18,B4:B29,0),5)</f>
        <v>789</v>
      </c>
      <c r="H21" s="6">
        <f>INDEX('8_pow. 50 r.ż.'!B3:G28,MATCH(18,B4:B29,0),6)</f>
        <v>-26</v>
      </c>
    </row>
    <row r="22" spans="2:8" x14ac:dyDescent="0.2">
      <c r="B22" s="6">
        <f>RANK('8_pow. 50 r.ż.'!C21,'8_pow. 50 r.ż.'!$C$3:'8_pow. 50 r.ż.'!$C$28,1)+COUNTIF('8_pow. 50 r.ż.'!$C$3:'8_pow. 50 r.ż.'!C21,'8_pow. 50 r.ż.'!C21)-1</f>
        <v>8</v>
      </c>
      <c r="C22" s="5" t="str">
        <f>INDEX('8_pow. 50 r.ż.'!B3:G28,MATCH(19,B4:B29,0),1)</f>
        <v>niżański</v>
      </c>
      <c r="D22" s="6">
        <f>INDEX('8_pow. 50 r.ż.'!B3:G28,MATCH(19,B4:B29,0),2)</f>
        <v>766</v>
      </c>
      <c r="E22" s="61">
        <f>INDEX('8_pow. 50 r.ż.'!B3:G28,MATCH(19,B4:B29,0),3)</f>
        <v>793</v>
      </c>
      <c r="F22" s="6">
        <f>INDEX('8_pow. 50 r.ż.'!B3:G28,MATCH(19,B4:B29,0),4)</f>
        <v>-27</v>
      </c>
      <c r="G22" s="61">
        <f>INDEX('8_pow. 50 r.ż.'!B3:G28,MATCH(19,B4:B29,0),5)</f>
        <v>838</v>
      </c>
      <c r="H22" s="6">
        <f>INDEX('8_pow. 50 r.ż.'!B3:G28,MATCH(19,B4:B29,0),6)</f>
        <v>-72</v>
      </c>
    </row>
    <row r="23" spans="2:8" x14ac:dyDescent="0.2">
      <c r="B23" s="6">
        <f>RANK('8_pow. 50 r.ż.'!C22,'8_pow. 50 r.ż.'!$C$3:'8_pow. 50 r.ż.'!$C$28,1)+COUNTIF('8_pow. 50 r.ż.'!$C$3:'8_pow. 50 r.ż.'!C22,'8_pow. 50 r.ż.'!C22)-1</f>
        <v>20</v>
      </c>
      <c r="C23" s="5" t="str">
        <f>INDEX('8_pow. 50 r.ż.'!B3:G28,MATCH(20,B4:B29,0),1)</f>
        <v>strzyżowski</v>
      </c>
      <c r="D23" s="6">
        <f>INDEX('8_pow. 50 r.ż.'!B3:G28,MATCH(20,B4:B29,0),2)</f>
        <v>775</v>
      </c>
      <c r="E23" s="61">
        <f>INDEX('8_pow. 50 r.ż.'!B3:G28,MATCH(20,B4:B29,0),3)</f>
        <v>806</v>
      </c>
      <c r="F23" s="6">
        <f>INDEX('8_pow. 50 r.ż.'!B3:G28,MATCH(20,B4:B29,0),4)</f>
        <v>-31</v>
      </c>
      <c r="G23" s="61">
        <f>INDEX('8_pow. 50 r.ż.'!B3:G28,MATCH(20,B4:B29,0),5)</f>
        <v>838</v>
      </c>
      <c r="H23" s="6">
        <f>INDEX('8_pow. 50 r.ż.'!B3:G28,MATCH(20,B4:B29,0),6)</f>
        <v>-63</v>
      </c>
    </row>
    <row r="24" spans="2:8" x14ac:dyDescent="0.2">
      <c r="B24" s="6">
        <f>RANK('8_pow. 50 r.ż.'!C23,'8_pow. 50 r.ż.'!$C$3:'8_pow. 50 r.ż.'!$C$28,1)+COUNTIF('8_pow. 50 r.ż.'!$C$3:'8_pow. 50 r.ż.'!C23,'8_pow. 50 r.ż.'!C23)-1</f>
        <v>4</v>
      </c>
      <c r="C24" s="5" t="str">
        <f>INDEX('8_pow. 50 r.ż.'!B3:G28,MATCH(21,B4:B29,0),1)</f>
        <v>brzozowski</v>
      </c>
      <c r="D24" s="6">
        <f>INDEX('8_pow. 50 r.ż.'!B3:G28,MATCH(21,B4:B29,0),2)</f>
        <v>1006</v>
      </c>
      <c r="E24" s="61">
        <f>INDEX('8_pow. 50 r.ż.'!B3:G28,MATCH(21,B4:B29,0),3)</f>
        <v>1025</v>
      </c>
      <c r="F24" s="6">
        <f>INDEX('8_pow. 50 r.ż.'!B3:G28,MATCH(21,B4:B29,0),4)</f>
        <v>-19</v>
      </c>
      <c r="G24" s="61">
        <f>INDEX('8_pow. 50 r.ż.'!B3:G28,MATCH(21,B4:B29,0),5)</f>
        <v>1046</v>
      </c>
      <c r="H24" s="6">
        <f>INDEX('8_pow. 50 r.ż.'!B3:G28,MATCH(21,B4:B29,0),6)</f>
        <v>-40</v>
      </c>
    </row>
    <row r="25" spans="2:8" x14ac:dyDescent="0.2">
      <c r="B25" s="6">
        <f>RANK('8_pow. 50 r.ż.'!C24,'8_pow. 50 r.ż.'!$C$3:'8_pow. 50 r.ż.'!$C$28,1)+COUNTIF('8_pow. 50 r.ż.'!$C$3:'8_pow. 50 r.ż.'!C24,'8_pow. 50 r.ż.'!C24)-1</f>
        <v>1</v>
      </c>
      <c r="C25" s="5" t="str">
        <f>INDEX('8_pow. 50 r.ż.'!B3:G28,MATCH(22,B4:B29,0),1)</f>
        <v>jarosławski</v>
      </c>
      <c r="D25" s="6">
        <f>INDEX('8_pow. 50 r.ż.'!B3:G28,MATCH(22,B4:B29,0),2)</f>
        <v>1132</v>
      </c>
      <c r="E25" s="61">
        <f>INDEX('8_pow. 50 r.ż.'!B3:G28,MATCH(22,B4:B29,0),3)</f>
        <v>1153</v>
      </c>
      <c r="F25" s="6">
        <f>INDEX('8_pow. 50 r.ż.'!B3:G28,MATCH(22,B4:B29,0),4)</f>
        <v>-21</v>
      </c>
      <c r="G25" s="61">
        <f>INDEX('8_pow. 50 r.ż.'!B3:G28,MATCH(22,B4:B29,0),5)</f>
        <v>1234</v>
      </c>
      <c r="H25" s="6">
        <f>INDEX('8_pow. 50 r.ż.'!B3:G28,MATCH(22,B4:B29,0),6)</f>
        <v>-102</v>
      </c>
    </row>
    <row r="26" spans="2:8" x14ac:dyDescent="0.2">
      <c r="B26" s="6">
        <f>RANK('8_pow. 50 r.ż.'!C25,'8_pow. 50 r.ż.'!$C$3:'8_pow. 50 r.ż.'!$C$28,1)+COUNTIF('8_pow. 50 r.ż.'!$C$3:'8_pow. 50 r.ż.'!C25,'8_pow. 50 r.ż.'!C25)-1</f>
        <v>16</v>
      </c>
      <c r="C26" s="5" t="str">
        <f>INDEX('8_pow. 50 r.ż.'!B3:G28,MATCH(23,B4:B29,0),1)</f>
        <v>jasielski</v>
      </c>
      <c r="D26" s="6">
        <f>INDEX('8_pow. 50 r.ż.'!B3:G28,MATCH(23,B4:B29,0),2)</f>
        <v>1177</v>
      </c>
      <c r="E26" s="61">
        <f>INDEX('8_pow. 50 r.ż.'!B3:G28,MATCH(23,B4:B29,0),3)</f>
        <v>1185</v>
      </c>
      <c r="F26" s="6">
        <f>INDEX('8_pow. 50 r.ż.'!B3:G28,MATCH(23,B4:B29,0),4)</f>
        <v>-8</v>
      </c>
      <c r="G26" s="61">
        <f>INDEX('8_pow. 50 r.ż.'!B3:G28,MATCH(23,B4:B29,0),5)</f>
        <v>1204</v>
      </c>
      <c r="H26" s="6">
        <f>INDEX('8_pow. 50 r.ż.'!B3:G28,MATCH(23,B4:B29,0),6)</f>
        <v>-27</v>
      </c>
    </row>
    <row r="27" spans="2:8" x14ac:dyDescent="0.2">
      <c r="B27" s="6">
        <f>RANK('8_pow. 50 r.ż.'!C26,'8_pow. 50 r.ż.'!$C$3:'8_pow. 50 r.ż.'!$C$28,1)+COUNTIF('8_pow. 50 r.ż.'!$C$3:'8_pow. 50 r.ż.'!C26,'8_pow. 50 r.ż.'!C26)-1</f>
        <v>25</v>
      </c>
      <c r="C27" s="5" t="str">
        <f>INDEX('8_pow. 50 r.ż.'!B3:G28,MATCH(24,B4:B29,0),1)</f>
        <v>rzeszowski</v>
      </c>
      <c r="D27" s="6">
        <f>INDEX('8_pow. 50 r.ż.'!B3:G28,MATCH(24,B4:B29,0),2)</f>
        <v>1223</v>
      </c>
      <c r="E27" s="61">
        <f>INDEX('8_pow. 50 r.ż.'!B3:G28,MATCH(24,B4:B29,0),3)</f>
        <v>1297</v>
      </c>
      <c r="F27" s="6">
        <f>INDEX('8_pow. 50 r.ż.'!B3:G28,MATCH(24,B4:B29,0),4)</f>
        <v>-74</v>
      </c>
      <c r="G27" s="61">
        <f>INDEX('8_pow. 50 r.ż.'!B3:G28,MATCH(24,B4:B29,0),5)</f>
        <v>1325</v>
      </c>
      <c r="H27" s="6">
        <f>INDEX('8_pow. 50 r.ż.'!B3:G28,MATCH(24,B4:B29,0),6)</f>
        <v>-102</v>
      </c>
    </row>
    <row r="28" spans="2:8" x14ac:dyDescent="0.2">
      <c r="B28" s="6">
        <f>RANK('8_pow. 50 r.ż.'!C27,'8_pow. 50 r.ż.'!$C$3:'8_pow. 50 r.ż.'!$C$28,1)+COUNTIF('8_pow. 50 r.ż.'!$C$3:'8_pow. 50 r.ż.'!C27,'8_pow. 50 r.ż.'!C27)-1</f>
        <v>3</v>
      </c>
      <c r="C28" s="5" t="str">
        <f>INDEX('8_pow. 50 r.ż.'!B3:G28,MATCH(25,B4:B29,0),1)</f>
        <v>Rzeszów</v>
      </c>
      <c r="D28" s="6">
        <f>INDEX('8_pow. 50 r.ż.'!B3:G28,MATCH(25,B4:B29,0),2)</f>
        <v>1492</v>
      </c>
      <c r="E28" s="61">
        <f>INDEX('8_pow. 50 r.ż.'!B3:G28,MATCH(25,B4:B29,0),3)</f>
        <v>1521</v>
      </c>
      <c r="F28" s="6">
        <f>INDEX('8_pow. 50 r.ż.'!B3:G28,MATCH(25,B4:B29,0),4)</f>
        <v>-29</v>
      </c>
      <c r="G28" s="61">
        <f>INDEX('8_pow. 50 r.ż.'!B3:G28,MATCH(25,B4:B29,0),5)</f>
        <v>1635</v>
      </c>
      <c r="H28" s="6">
        <f>INDEX('8_pow. 50 r.ż.'!B3:G28,MATCH(25,B4:B29,0),6)</f>
        <v>-143</v>
      </c>
    </row>
    <row r="29" spans="2:8" ht="15" x14ac:dyDescent="0.25">
      <c r="B29" s="59">
        <f>RANK('8_pow. 50 r.ż.'!C28,'8_pow. 50 r.ż.'!$C$3:'8_pow. 50 r.ż.'!$C$28,1)+COUNTIF('8_pow. 50 r.ż.'!$C$3:'8_pow. 50 r.ż.'!C28,'8_pow. 50 r.ż.'!C28)-1</f>
        <v>26</v>
      </c>
      <c r="C29" s="58" t="str">
        <f>INDEX('8_pow. 50 r.ż.'!B3:G28,MATCH(26,B4:B29,0),1)</f>
        <v>województwo</v>
      </c>
      <c r="D29" s="59">
        <f>INDEX('8_pow. 50 r.ż.'!B3:G28,MATCH(26,B4:B29,0),2)</f>
        <v>17488</v>
      </c>
      <c r="E29" s="63">
        <f>INDEX('8_pow. 50 r.ż.'!B3:G28,MATCH(26,B4:B29,0),3)</f>
        <v>17856</v>
      </c>
      <c r="F29" s="59">
        <f>INDEX('8_pow. 50 r.ż.'!B3:G28,MATCH(26,B4:B29,0),4)</f>
        <v>-368</v>
      </c>
      <c r="G29" s="63">
        <f>INDEX('8_pow. 50 r.ż.'!B3:G28,MATCH(26,B4:B29,0),5)</f>
        <v>18726</v>
      </c>
      <c r="H29" s="59">
        <f>INDEX('8_pow. 50 r.ż.'!B3:G28,MATCH(26,B4:B29,0),6)</f>
        <v>-1238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  <pageSetUpPr fitToPage="1"/>
  </sheetPr>
  <dimension ref="B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7.2851562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42"/>
      <c r="D1" s="42"/>
      <c r="E1" s="42"/>
      <c r="F1" s="42"/>
      <c r="G1" s="42"/>
    </row>
    <row r="2" spans="2:8" ht="57" x14ac:dyDescent="0.2">
      <c r="B2" s="55" t="s">
        <v>27</v>
      </c>
      <c r="C2" s="56" t="s">
        <v>128</v>
      </c>
      <c r="D2" s="57" t="s">
        <v>110</v>
      </c>
      <c r="E2" s="56" t="s">
        <v>28</v>
      </c>
      <c r="F2" s="57" t="s">
        <v>129</v>
      </c>
      <c r="G2" s="56" t="s">
        <v>26</v>
      </c>
    </row>
    <row r="3" spans="2:8" x14ac:dyDescent="0.2">
      <c r="B3" s="5" t="s">
        <v>0</v>
      </c>
      <c r="C3" s="45">
        <v>34</v>
      </c>
      <c r="D3" s="61">
        <v>72</v>
      </c>
      <c r="E3" s="45">
        <f t="shared" ref="E3:E27" si="0">SUM(C3)-D3</f>
        <v>-38</v>
      </c>
      <c r="F3" s="61">
        <v>59</v>
      </c>
      <c r="G3" s="45">
        <f t="shared" ref="G3:G27" si="1">SUM(C3)-F3</f>
        <v>-25</v>
      </c>
      <c r="H3" s="7"/>
    </row>
    <row r="4" spans="2:8" x14ac:dyDescent="0.2">
      <c r="B4" s="5" t="s">
        <v>1</v>
      </c>
      <c r="C4" s="45">
        <v>124</v>
      </c>
      <c r="D4" s="61">
        <v>54</v>
      </c>
      <c r="E4" s="45">
        <f t="shared" si="0"/>
        <v>70</v>
      </c>
      <c r="F4" s="61">
        <v>112</v>
      </c>
      <c r="G4" s="45">
        <f t="shared" si="1"/>
        <v>12</v>
      </c>
      <c r="H4" s="7"/>
    </row>
    <row r="5" spans="2:8" x14ac:dyDescent="0.2">
      <c r="B5" s="5" t="s">
        <v>2</v>
      </c>
      <c r="C5" s="45">
        <v>282</v>
      </c>
      <c r="D5" s="61">
        <v>282</v>
      </c>
      <c r="E5" s="45">
        <f t="shared" si="0"/>
        <v>0</v>
      </c>
      <c r="F5" s="61">
        <v>358</v>
      </c>
      <c r="G5" s="45">
        <f t="shared" si="1"/>
        <v>-76</v>
      </c>
      <c r="H5" s="7"/>
    </row>
    <row r="6" spans="2:8" x14ac:dyDescent="0.2">
      <c r="B6" s="5" t="s">
        <v>3</v>
      </c>
      <c r="C6" s="45">
        <v>202</v>
      </c>
      <c r="D6" s="61">
        <v>359</v>
      </c>
      <c r="E6" s="45">
        <f t="shared" si="0"/>
        <v>-157</v>
      </c>
      <c r="F6" s="61">
        <v>291</v>
      </c>
      <c r="G6" s="45">
        <f t="shared" si="1"/>
        <v>-89</v>
      </c>
      <c r="H6" s="7"/>
    </row>
    <row r="7" spans="2:8" x14ac:dyDescent="0.2">
      <c r="B7" s="5" t="s">
        <v>4</v>
      </c>
      <c r="C7" s="45">
        <v>209</v>
      </c>
      <c r="D7" s="61">
        <v>240</v>
      </c>
      <c r="E7" s="45">
        <f t="shared" si="0"/>
        <v>-31</v>
      </c>
      <c r="F7" s="61">
        <v>271</v>
      </c>
      <c r="G7" s="45">
        <f t="shared" si="1"/>
        <v>-62</v>
      </c>
      <c r="H7" s="7"/>
    </row>
    <row r="8" spans="2:8" x14ac:dyDescent="0.2">
      <c r="B8" s="5" t="s">
        <v>5</v>
      </c>
      <c r="C8" s="45">
        <v>94</v>
      </c>
      <c r="D8" s="61">
        <v>151</v>
      </c>
      <c r="E8" s="45">
        <f t="shared" si="0"/>
        <v>-57</v>
      </c>
      <c r="F8" s="61">
        <v>180</v>
      </c>
      <c r="G8" s="45">
        <f t="shared" si="1"/>
        <v>-86</v>
      </c>
      <c r="H8" s="7"/>
    </row>
    <row r="9" spans="2:8" x14ac:dyDescent="0.2">
      <c r="B9" s="9" t="s">
        <v>6</v>
      </c>
      <c r="C9" s="45">
        <v>71</v>
      </c>
      <c r="D9" s="61">
        <v>98</v>
      </c>
      <c r="E9" s="45">
        <f t="shared" si="0"/>
        <v>-27</v>
      </c>
      <c r="F9" s="61">
        <v>113</v>
      </c>
      <c r="G9" s="45">
        <f t="shared" si="1"/>
        <v>-42</v>
      </c>
      <c r="H9" s="7"/>
    </row>
    <row r="10" spans="2:8" x14ac:dyDescent="0.2">
      <c r="B10" s="5" t="s">
        <v>7</v>
      </c>
      <c r="C10" s="45">
        <v>56</v>
      </c>
      <c r="D10" s="61">
        <v>166</v>
      </c>
      <c r="E10" s="45">
        <f t="shared" si="0"/>
        <v>-110</v>
      </c>
      <c r="F10" s="61">
        <v>68</v>
      </c>
      <c r="G10" s="45">
        <f t="shared" si="1"/>
        <v>-12</v>
      </c>
      <c r="H10" s="7"/>
    </row>
    <row r="11" spans="2:8" x14ac:dyDescent="0.2">
      <c r="B11" s="5" t="s">
        <v>8</v>
      </c>
      <c r="C11" s="45">
        <v>212</v>
      </c>
      <c r="D11" s="61">
        <v>35</v>
      </c>
      <c r="E11" s="45">
        <f t="shared" si="0"/>
        <v>177</v>
      </c>
      <c r="F11" s="61">
        <v>128</v>
      </c>
      <c r="G11" s="45">
        <f t="shared" si="1"/>
        <v>84</v>
      </c>
      <c r="H11" s="7"/>
    </row>
    <row r="12" spans="2:8" x14ac:dyDescent="0.2">
      <c r="B12" s="5" t="s">
        <v>9</v>
      </c>
      <c r="C12" s="45">
        <v>88</v>
      </c>
      <c r="D12" s="61">
        <v>175</v>
      </c>
      <c r="E12" s="45">
        <f t="shared" si="0"/>
        <v>-87</v>
      </c>
      <c r="F12" s="61">
        <v>119</v>
      </c>
      <c r="G12" s="45">
        <f t="shared" si="1"/>
        <v>-31</v>
      </c>
      <c r="H12" s="7"/>
    </row>
    <row r="13" spans="2:8" x14ac:dyDescent="0.2">
      <c r="B13" s="5" t="s">
        <v>10</v>
      </c>
      <c r="C13" s="45">
        <v>159</v>
      </c>
      <c r="D13" s="61">
        <v>101</v>
      </c>
      <c r="E13" s="45">
        <f t="shared" si="0"/>
        <v>58</v>
      </c>
      <c r="F13" s="61">
        <v>149</v>
      </c>
      <c r="G13" s="45">
        <f t="shared" si="1"/>
        <v>10</v>
      </c>
      <c r="H13" s="7"/>
    </row>
    <row r="14" spans="2:8" x14ac:dyDescent="0.2">
      <c r="B14" s="5" t="s">
        <v>11</v>
      </c>
      <c r="C14" s="45">
        <v>263</v>
      </c>
      <c r="D14" s="61">
        <v>150</v>
      </c>
      <c r="E14" s="45">
        <f t="shared" si="0"/>
        <v>113</v>
      </c>
      <c r="F14" s="61">
        <v>697</v>
      </c>
      <c r="G14" s="45">
        <f t="shared" si="1"/>
        <v>-434</v>
      </c>
      <c r="H14" s="7"/>
    </row>
    <row r="15" spans="2:8" x14ac:dyDescent="0.2">
      <c r="B15" s="5" t="s">
        <v>12</v>
      </c>
      <c r="C15" s="45">
        <v>223</v>
      </c>
      <c r="D15" s="61">
        <v>364</v>
      </c>
      <c r="E15" s="45">
        <f t="shared" si="0"/>
        <v>-141</v>
      </c>
      <c r="F15" s="61">
        <v>163</v>
      </c>
      <c r="G15" s="45">
        <f t="shared" si="1"/>
        <v>60</v>
      </c>
      <c r="H15" s="7"/>
    </row>
    <row r="16" spans="2:8" x14ac:dyDescent="0.2">
      <c r="B16" s="5" t="s">
        <v>13</v>
      </c>
      <c r="C16" s="45">
        <v>59</v>
      </c>
      <c r="D16" s="61">
        <v>122</v>
      </c>
      <c r="E16" s="45">
        <f t="shared" si="0"/>
        <v>-63</v>
      </c>
      <c r="F16" s="61">
        <v>95</v>
      </c>
      <c r="G16" s="45">
        <f t="shared" si="1"/>
        <v>-36</v>
      </c>
      <c r="H16" s="7"/>
    </row>
    <row r="17" spans="2:8" x14ac:dyDescent="0.2">
      <c r="B17" s="5" t="s">
        <v>14</v>
      </c>
      <c r="C17" s="45">
        <v>167</v>
      </c>
      <c r="D17" s="61">
        <v>61</v>
      </c>
      <c r="E17" s="45">
        <f t="shared" si="0"/>
        <v>106</v>
      </c>
      <c r="F17" s="61">
        <v>305</v>
      </c>
      <c r="G17" s="45">
        <f t="shared" si="1"/>
        <v>-138</v>
      </c>
      <c r="H17" s="7"/>
    </row>
    <row r="18" spans="2:8" x14ac:dyDescent="0.2">
      <c r="B18" s="5" t="s">
        <v>15</v>
      </c>
      <c r="C18" s="45">
        <v>163</v>
      </c>
      <c r="D18" s="61">
        <v>76</v>
      </c>
      <c r="E18" s="45">
        <f t="shared" si="0"/>
        <v>87</v>
      </c>
      <c r="F18" s="61">
        <v>203</v>
      </c>
      <c r="G18" s="45">
        <f t="shared" si="1"/>
        <v>-40</v>
      </c>
      <c r="H18" s="7"/>
    </row>
    <row r="19" spans="2:8" x14ac:dyDescent="0.2">
      <c r="B19" s="5" t="s">
        <v>16</v>
      </c>
      <c r="C19" s="45">
        <v>164</v>
      </c>
      <c r="D19" s="61">
        <v>248</v>
      </c>
      <c r="E19" s="45">
        <f t="shared" si="0"/>
        <v>-84</v>
      </c>
      <c r="F19" s="61">
        <v>298</v>
      </c>
      <c r="G19" s="45">
        <f t="shared" si="1"/>
        <v>-134</v>
      </c>
      <c r="H19" s="7"/>
    </row>
    <row r="20" spans="2:8" x14ac:dyDescent="0.2">
      <c r="B20" s="5" t="s">
        <v>17</v>
      </c>
      <c r="C20" s="45">
        <v>198</v>
      </c>
      <c r="D20" s="61">
        <v>93</v>
      </c>
      <c r="E20" s="45">
        <f t="shared" si="0"/>
        <v>105</v>
      </c>
      <c r="F20" s="61">
        <v>102</v>
      </c>
      <c r="G20" s="45">
        <f t="shared" si="1"/>
        <v>96</v>
      </c>
      <c r="H20" s="7"/>
    </row>
    <row r="21" spans="2:8" x14ac:dyDescent="0.2">
      <c r="B21" s="5" t="s">
        <v>18</v>
      </c>
      <c r="C21" s="45">
        <v>93</v>
      </c>
      <c r="D21" s="61">
        <v>138</v>
      </c>
      <c r="E21" s="45">
        <f t="shared" si="0"/>
        <v>-45</v>
      </c>
      <c r="F21" s="61">
        <v>245</v>
      </c>
      <c r="G21" s="45">
        <f t="shared" si="1"/>
        <v>-152</v>
      </c>
      <c r="H21" s="7"/>
    </row>
    <row r="22" spans="2:8" x14ac:dyDescent="0.2">
      <c r="B22" s="5" t="s">
        <v>19</v>
      </c>
      <c r="C22" s="45">
        <v>232</v>
      </c>
      <c r="D22" s="61">
        <v>628</v>
      </c>
      <c r="E22" s="45">
        <f t="shared" si="0"/>
        <v>-396</v>
      </c>
      <c r="F22" s="61">
        <v>266</v>
      </c>
      <c r="G22" s="45">
        <f t="shared" si="1"/>
        <v>-34</v>
      </c>
      <c r="H22" s="7"/>
    </row>
    <row r="23" spans="2:8" x14ac:dyDescent="0.2">
      <c r="B23" s="5" t="s">
        <v>20</v>
      </c>
      <c r="C23" s="45">
        <v>158</v>
      </c>
      <c r="D23" s="61">
        <v>46</v>
      </c>
      <c r="E23" s="45">
        <f t="shared" si="0"/>
        <v>112</v>
      </c>
      <c r="F23" s="61">
        <v>182</v>
      </c>
      <c r="G23" s="45">
        <f t="shared" si="1"/>
        <v>-24</v>
      </c>
      <c r="H23" s="7"/>
    </row>
    <row r="24" spans="2:8" x14ac:dyDescent="0.2">
      <c r="B24" s="5" t="s">
        <v>21</v>
      </c>
      <c r="C24" s="45">
        <v>46</v>
      </c>
      <c r="D24" s="61">
        <v>186</v>
      </c>
      <c r="E24" s="45">
        <f t="shared" si="0"/>
        <v>-140</v>
      </c>
      <c r="F24" s="61">
        <v>114</v>
      </c>
      <c r="G24" s="45">
        <f t="shared" si="1"/>
        <v>-68</v>
      </c>
      <c r="H24" s="7"/>
    </row>
    <row r="25" spans="2:8" x14ac:dyDescent="0.2">
      <c r="B25" s="5" t="s">
        <v>22</v>
      </c>
      <c r="C25" s="45">
        <v>95</v>
      </c>
      <c r="D25" s="61">
        <v>194</v>
      </c>
      <c r="E25" s="45">
        <f t="shared" si="0"/>
        <v>-99</v>
      </c>
      <c r="F25" s="61">
        <v>135</v>
      </c>
      <c r="G25" s="45">
        <f t="shared" si="1"/>
        <v>-40</v>
      </c>
      <c r="H25" s="7"/>
    </row>
    <row r="26" spans="2:8" x14ac:dyDescent="0.2">
      <c r="B26" s="5" t="s">
        <v>23</v>
      </c>
      <c r="C26" s="45">
        <v>624</v>
      </c>
      <c r="D26" s="61">
        <v>142</v>
      </c>
      <c r="E26" s="45">
        <f t="shared" si="0"/>
        <v>482</v>
      </c>
      <c r="F26" s="61">
        <v>1181</v>
      </c>
      <c r="G26" s="45">
        <f t="shared" si="1"/>
        <v>-557</v>
      </c>
      <c r="H26" s="7"/>
    </row>
    <row r="27" spans="2:8" x14ac:dyDescent="0.2">
      <c r="B27" s="5" t="s">
        <v>24</v>
      </c>
      <c r="C27" s="45">
        <v>116</v>
      </c>
      <c r="D27" s="61">
        <v>89</v>
      </c>
      <c r="E27" s="45">
        <f t="shared" si="0"/>
        <v>27</v>
      </c>
      <c r="F27" s="61">
        <v>174</v>
      </c>
      <c r="G27" s="45">
        <f t="shared" si="1"/>
        <v>-58</v>
      </c>
      <c r="H27" s="7"/>
    </row>
    <row r="28" spans="2:8" ht="15" x14ac:dyDescent="0.25">
      <c r="B28" s="58" t="s">
        <v>25</v>
      </c>
      <c r="C28" s="79">
        <f>SUM(C3:C27)</f>
        <v>4132</v>
      </c>
      <c r="D28" s="63">
        <f>SUM(D3:D27)</f>
        <v>4270</v>
      </c>
      <c r="E28" s="79">
        <f>SUM(E3:E27)</f>
        <v>-138</v>
      </c>
      <c r="F28" s="63">
        <f>SUM(F3:F27)</f>
        <v>6008</v>
      </c>
      <c r="G28" s="79">
        <f>SUM(G3:G27)</f>
        <v>-1876</v>
      </c>
      <c r="H28" s="7"/>
    </row>
    <row r="29" spans="2:8" ht="12" customHeight="1" x14ac:dyDescent="0.2">
      <c r="B29" s="4"/>
      <c r="E29" s="7"/>
      <c r="G29" s="7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2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T('9_oferty p.'!B2)</f>
        <v>powiaty</v>
      </c>
      <c r="D3" s="55" t="str">
        <f>T('9_oferty p.'!C2)</f>
        <v>liczba ofert w III '23 r.</v>
      </c>
      <c r="E3" s="55" t="str">
        <f>T('9_oferty p.'!D2)</f>
        <v>liczba ofert w II '23 r.</v>
      </c>
      <c r="F3" s="55" t="str">
        <f>T('9_oferty p.'!E2)</f>
        <v>wzrost/spadek do poprzedniego  miesiąca</v>
      </c>
      <c r="G3" s="55" t="str">
        <f>T('9_oferty p.'!F2)</f>
        <v>liczba ofert w III '22 r.</v>
      </c>
      <c r="H3" s="55" t="str">
        <f>T('9_oferty p.'!G2)</f>
        <v>wzrost/spadek do analogicznego okresu ubr.</v>
      </c>
    </row>
    <row r="4" spans="2:8" x14ac:dyDescent="0.2">
      <c r="B4" s="6">
        <f>RANK('9_oferty p.'!C3,'9_oferty p.'!$C$3:'9_oferty p.'!$C$28,1)+COUNTIF('9_oferty p.'!$C$3:'9_oferty p.'!C3,'9_oferty p.'!C3)-1</f>
        <v>1</v>
      </c>
      <c r="C4" s="5" t="str">
        <f>INDEX('9_oferty p.'!B3:G28,MATCH(1,B4:B29,0),1)</f>
        <v>bieszczadzki</v>
      </c>
      <c r="D4" s="25">
        <f>INDEX('9_oferty p.'!B3:G28,MATCH(1,B4:B29,0),2)</f>
        <v>34</v>
      </c>
      <c r="E4" s="61">
        <f>INDEX('9_oferty p.'!B3:G28,MATCH(1,B4:B29,0),3)</f>
        <v>72</v>
      </c>
      <c r="F4" s="6">
        <f>INDEX('9_oferty p.'!B3:G28,MATCH(1,B4:B29,0),4)</f>
        <v>-38</v>
      </c>
      <c r="G4" s="61">
        <f>INDEX('9_oferty p.'!B3:G28,MATCH(1,B4:B29,0),5)</f>
        <v>59</v>
      </c>
      <c r="H4" s="6">
        <f>INDEX('9_oferty p.'!B3:G28,MATCH(1,B4:B29,0),6)</f>
        <v>-25</v>
      </c>
    </row>
    <row r="5" spans="2:8" x14ac:dyDescent="0.2">
      <c r="B5" s="6">
        <f>RANK('9_oferty p.'!C4,'9_oferty p.'!$C$3:'9_oferty p.'!$C$28,1)+COUNTIF('9_oferty p.'!$C$3:'9_oferty p.'!C4,'9_oferty p.'!C4)-1</f>
        <v>11</v>
      </c>
      <c r="C5" s="5" t="str">
        <f>INDEX('9_oferty p.'!B3:G28,MATCH(2,B4:B29,0),1)</f>
        <v>Krosno</v>
      </c>
      <c r="D5" s="6">
        <f>INDEX('9_oferty p.'!B3:G28,MATCH(2,B4:B29,0),2)</f>
        <v>46</v>
      </c>
      <c r="E5" s="61">
        <f>INDEX('9_oferty p.'!B3:G28,MATCH(2,B4:B29,0),3)</f>
        <v>186</v>
      </c>
      <c r="F5" s="6">
        <f>INDEX('9_oferty p.'!B3:G28,MATCH(2,B4:B29,0),4)</f>
        <v>-140</v>
      </c>
      <c r="G5" s="61">
        <f>INDEX('9_oferty p.'!B3:G28,MATCH(2,B4:B29,0),5)</f>
        <v>114</v>
      </c>
      <c r="H5" s="6">
        <f>INDEX('9_oferty p.'!B3:G28,MATCH(2,B4:B29,0),6)</f>
        <v>-68</v>
      </c>
    </row>
    <row r="6" spans="2:8" x14ac:dyDescent="0.2">
      <c r="B6" s="6">
        <f>RANK('9_oferty p.'!C5,'9_oferty p.'!$C$3:'9_oferty p.'!$C$28,1)+COUNTIF('9_oferty p.'!$C$3:'9_oferty p.'!C5,'9_oferty p.'!C5)-1</f>
        <v>24</v>
      </c>
      <c r="C6" s="5" t="str">
        <f>INDEX('9_oferty p.'!B3:G28,MATCH(3,B4:B29,0),1)</f>
        <v>leski</v>
      </c>
      <c r="D6" s="6">
        <f>INDEX('9_oferty p.'!B3:G28,MATCH(3,B4:B29,0),2)</f>
        <v>56</v>
      </c>
      <c r="E6" s="61">
        <f>INDEX('9_oferty p.'!B3:G28,MATCH(3,B4:B29,0),3)</f>
        <v>166</v>
      </c>
      <c r="F6" s="6">
        <f>INDEX('9_oferty p.'!B3:G28,MATCH(3,B4:B29,0),4)</f>
        <v>-110</v>
      </c>
      <c r="G6" s="61">
        <f>INDEX('9_oferty p.'!B3:G28,MATCH(3,B4:B29,0),5)</f>
        <v>68</v>
      </c>
      <c r="H6" s="6">
        <f>INDEX('9_oferty p.'!B3:G28,MATCH(3,B4:B29,0),6)</f>
        <v>-12</v>
      </c>
    </row>
    <row r="7" spans="2:8" x14ac:dyDescent="0.2">
      <c r="B7" s="6">
        <f>RANK('9_oferty p.'!C6,'9_oferty p.'!$C$3:'9_oferty p.'!$C$28,1)+COUNTIF('9_oferty p.'!$C$3:'9_oferty p.'!C6,'9_oferty p.'!C6)-1</f>
        <v>18</v>
      </c>
      <c r="C7" s="5" t="str">
        <f>INDEX('9_oferty p.'!B3:G28,MATCH(4,B4:B29,0),1)</f>
        <v>przemyski</v>
      </c>
      <c r="D7" s="6">
        <f>INDEX('9_oferty p.'!B3:G28,MATCH(4,B4:B29,0),2)</f>
        <v>59</v>
      </c>
      <c r="E7" s="61">
        <f>INDEX('9_oferty p.'!B3:G28,MATCH(4,B4:B29,0),3)</f>
        <v>122</v>
      </c>
      <c r="F7" s="6">
        <f>INDEX('9_oferty p.'!B3:G28,MATCH(4,B4:B29,0),4)</f>
        <v>-63</v>
      </c>
      <c r="G7" s="61">
        <f>INDEX('9_oferty p.'!B3:G28,MATCH(4,B4:B29,0),5)</f>
        <v>95</v>
      </c>
      <c r="H7" s="6">
        <f>INDEX('9_oferty p.'!B3:G28,MATCH(4,B4:B29,0),6)</f>
        <v>-36</v>
      </c>
    </row>
    <row r="8" spans="2:8" x14ac:dyDescent="0.2">
      <c r="B8" s="6">
        <f>RANK('9_oferty p.'!C7,'9_oferty p.'!$C$3:'9_oferty p.'!$C$28,1)+COUNTIF('9_oferty p.'!$C$3:'9_oferty p.'!C7,'9_oferty p.'!C7)-1</f>
        <v>19</v>
      </c>
      <c r="C8" s="5" t="str">
        <f>INDEX('9_oferty p.'!B3:G28,MATCH(5,B4:B29,0),1)</f>
        <v>krośnieński</v>
      </c>
      <c r="D8" s="6">
        <f>INDEX('9_oferty p.'!B3:G28,MATCH(5,B4:B29,0),2)</f>
        <v>71</v>
      </c>
      <c r="E8" s="61">
        <f>INDEX('9_oferty p.'!B3:G28,MATCH(5,B4:B29,0),3)</f>
        <v>98</v>
      </c>
      <c r="F8" s="6">
        <f>INDEX('9_oferty p.'!B3:G28,MATCH(5,B4:B29,0),4)</f>
        <v>-27</v>
      </c>
      <c r="G8" s="61">
        <f>INDEX('9_oferty p.'!B3:G28,MATCH(5,B4:B29,0),5)</f>
        <v>113</v>
      </c>
      <c r="H8" s="6">
        <f>INDEX('9_oferty p.'!B3:G28,MATCH(5,B4:B29,0),6)</f>
        <v>-42</v>
      </c>
    </row>
    <row r="9" spans="2:8" x14ac:dyDescent="0.2">
      <c r="B9" s="6">
        <f>RANK('9_oferty p.'!C8,'9_oferty p.'!$C$3:'9_oferty p.'!$C$28,1)+COUNTIF('9_oferty p.'!$C$3:'9_oferty p.'!C8,'9_oferty p.'!C8)-1</f>
        <v>8</v>
      </c>
      <c r="C9" s="5" t="str">
        <f>INDEX('9_oferty p.'!B3:G28,MATCH(6,B4:B29,0),1)</f>
        <v>lubaczowski</v>
      </c>
      <c r="D9" s="6">
        <f>INDEX('9_oferty p.'!B3:G28,MATCH(6,B4:B29,0),2)</f>
        <v>88</v>
      </c>
      <c r="E9" s="61">
        <f>INDEX('9_oferty p.'!B3:G28,MATCH(6,B4:B29,0),3)</f>
        <v>175</v>
      </c>
      <c r="F9" s="6">
        <f>INDEX('9_oferty p.'!B3:G28,MATCH(6,B4:B29,0),4)</f>
        <v>-87</v>
      </c>
      <c r="G9" s="61">
        <f>INDEX('9_oferty p.'!B3:G28,MATCH(6,B4:B29,0),5)</f>
        <v>119</v>
      </c>
      <c r="H9" s="6">
        <f>INDEX('9_oferty p.'!B3:G28,MATCH(6,B4:B29,0),6)</f>
        <v>-31</v>
      </c>
    </row>
    <row r="10" spans="2:8" x14ac:dyDescent="0.2">
      <c r="B10" s="6">
        <f>RANK('9_oferty p.'!C9,'9_oferty p.'!$C$3:'9_oferty p.'!$C$28,1)+COUNTIF('9_oferty p.'!$C$3:'9_oferty p.'!C9,'9_oferty p.'!C9)-1</f>
        <v>5</v>
      </c>
      <c r="C10" s="9" t="str">
        <f>INDEX('9_oferty p.'!B3:G28,MATCH(7,B4:B29,0),1)</f>
        <v>stalowowolski</v>
      </c>
      <c r="D10" s="6">
        <f>INDEX('9_oferty p.'!B3:G28,MATCH(7,B4:B29,0),2)</f>
        <v>93</v>
      </c>
      <c r="E10" s="61">
        <f>INDEX('9_oferty p.'!B3:G28,MATCH(7,B4:B29,0),3)</f>
        <v>138</v>
      </c>
      <c r="F10" s="6">
        <f>INDEX('9_oferty p.'!B3:G28,MATCH(7,B4:B29,0),4)</f>
        <v>-45</v>
      </c>
      <c r="G10" s="61">
        <f>INDEX('9_oferty p.'!B3:G28,MATCH(7,B4:B29,0),5)</f>
        <v>245</v>
      </c>
      <c r="H10" s="6">
        <f>INDEX('9_oferty p.'!B3:G28,MATCH(7,B4:B29,0),6)</f>
        <v>-152</v>
      </c>
    </row>
    <row r="11" spans="2:8" x14ac:dyDescent="0.2">
      <c r="B11" s="6">
        <f>RANK('9_oferty p.'!C10,'9_oferty p.'!$C$3:'9_oferty p.'!$C$28,1)+COUNTIF('9_oferty p.'!$C$3:'9_oferty p.'!C10,'9_oferty p.'!C10)-1</f>
        <v>3</v>
      </c>
      <c r="C11" s="5" t="str">
        <f>INDEX('9_oferty p.'!B3:G28,MATCH(8,B4:B29,0),1)</f>
        <v>kolbuszowski</v>
      </c>
      <c r="D11" s="6">
        <f>INDEX('9_oferty p.'!B3:G28,MATCH(8,B4:B29,0),2)</f>
        <v>94</v>
      </c>
      <c r="E11" s="61">
        <f>INDEX('9_oferty p.'!B3:G28,MATCH(8,B4:B29,0),3)</f>
        <v>151</v>
      </c>
      <c r="F11" s="6">
        <f>INDEX('9_oferty p.'!B3:G28,MATCH(8,B4:B29,0),4)</f>
        <v>-57</v>
      </c>
      <c r="G11" s="61">
        <f>INDEX('9_oferty p.'!B3:G28,MATCH(8,B4:B29,0),5)</f>
        <v>180</v>
      </c>
      <c r="H11" s="6">
        <f>INDEX('9_oferty p.'!B3:G28,MATCH(8,B4:B29,0),6)</f>
        <v>-86</v>
      </c>
    </row>
    <row r="12" spans="2:8" x14ac:dyDescent="0.2">
      <c r="B12" s="6">
        <f>RANK('9_oferty p.'!C11,'9_oferty p.'!$C$3:'9_oferty p.'!$C$28,1)+COUNTIF('9_oferty p.'!$C$3:'9_oferty p.'!C11,'9_oferty p.'!C11)-1</f>
        <v>20</v>
      </c>
      <c r="C12" s="5" t="str">
        <f>INDEX('9_oferty p.'!B3:G28,MATCH(9,B4:B29,0),1)</f>
        <v>Przemyśl</v>
      </c>
      <c r="D12" s="6">
        <f>INDEX('9_oferty p.'!B3:G28,MATCH(9,B4:B29,0),2)</f>
        <v>95</v>
      </c>
      <c r="E12" s="61">
        <f>INDEX('9_oferty p.'!B3:G28,MATCH(9,B4:B29,0),3)</f>
        <v>194</v>
      </c>
      <c r="F12" s="6">
        <f>INDEX('9_oferty p.'!B3:G28,MATCH(9,B4:B29,0),4)</f>
        <v>-99</v>
      </c>
      <c r="G12" s="61">
        <f>INDEX('9_oferty p.'!B3:G28,MATCH(9,B4:B29,0),5)</f>
        <v>135</v>
      </c>
      <c r="H12" s="6">
        <f>INDEX('9_oferty p.'!B3:G28,MATCH(9,B4:B29,0),6)</f>
        <v>-40</v>
      </c>
    </row>
    <row r="13" spans="2:8" x14ac:dyDescent="0.2">
      <c r="B13" s="6">
        <f>RANK('9_oferty p.'!C12,'9_oferty p.'!$C$3:'9_oferty p.'!$C$28,1)+COUNTIF('9_oferty p.'!$C$3:'9_oferty p.'!C12,'9_oferty p.'!C12)-1</f>
        <v>6</v>
      </c>
      <c r="C13" s="5" t="str">
        <f>INDEX('9_oferty p.'!B3:G28,MATCH(10,B4:B29,0),1)</f>
        <v>Tarnobrzeg</v>
      </c>
      <c r="D13" s="6">
        <f>INDEX('9_oferty p.'!B3:G28,MATCH(10,B4:B29,0),2)</f>
        <v>116</v>
      </c>
      <c r="E13" s="61">
        <f>INDEX('9_oferty p.'!B3:G28,MATCH(10,B4:B29,0),3)</f>
        <v>89</v>
      </c>
      <c r="F13" s="6">
        <f>INDEX('9_oferty p.'!B3:G28,MATCH(10,B4:B29,0),4)</f>
        <v>27</v>
      </c>
      <c r="G13" s="61">
        <f>INDEX('9_oferty p.'!B3:G28,MATCH(10,B4:B29,0),5)</f>
        <v>174</v>
      </c>
      <c r="H13" s="6">
        <f>INDEX('9_oferty p.'!B3:G28,MATCH(10,B4:B29,0),6)</f>
        <v>-58</v>
      </c>
    </row>
    <row r="14" spans="2:8" x14ac:dyDescent="0.2">
      <c r="B14" s="6">
        <f>RANK('9_oferty p.'!C13,'9_oferty p.'!$C$3:'9_oferty p.'!$C$28,1)+COUNTIF('9_oferty p.'!$C$3:'9_oferty p.'!C13,'9_oferty p.'!C13)-1</f>
        <v>13</v>
      </c>
      <c r="C14" s="5" t="str">
        <f>INDEX('9_oferty p.'!B3:G28,MATCH(11,B4:B29,0),1)</f>
        <v>brzozowski</v>
      </c>
      <c r="D14" s="6">
        <f>INDEX('9_oferty p.'!B3:G28,MATCH(11,B4:B29,0),2)</f>
        <v>124</v>
      </c>
      <c r="E14" s="61">
        <f>INDEX('9_oferty p.'!B3:G28,MATCH(11,B4:B29,0),3)</f>
        <v>54</v>
      </c>
      <c r="F14" s="6">
        <f>INDEX('9_oferty p.'!B3:G28,MATCH(11,B4:B29,0),4)</f>
        <v>70</v>
      </c>
      <c r="G14" s="61">
        <f>INDEX('9_oferty p.'!B3:G28,MATCH(11,B4:B29,0),5)</f>
        <v>112</v>
      </c>
      <c r="H14" s="6">
        <f>INDEX('9_oferty p.'!B3:G28,MATCH(11,B4:B29,0),6)</f>
        <v>12</v>
      </c>
    </row>
    <row r="15" spans="2:8" x14ac:dyDescent="0.2">
      <c r="B15" s="6">
        <f>RANK('9_oferty p.'!C14,'9_oferty p.'!$C$3:'9_oferty p.'!$C$28,1)+COUNTIF('9_oferty p.'!$C$3:'9_oferty p.'!C14,'9_oferty p.'!C14)-1</f>
        <v>23</v>
      </c>
      <c r="C15" s="5" t="str">
        <f>INDEX('9_oferty p.'!B3:G28,MATCH(12,B4:B29,0),1)</f>
        <v xml:space="preserve">tarnobrzeski </v>
      </c>
      <c r="D15" s="6">
        <f>INDEX('9_oferty p.'!B3:G28,MATCH(12,B4:B29,0),2)</f>
        <v>158</v>
      </c>
      <c r="E15" s="61">
        <f>INDEX('9_oferty p.'!B3:G28,MATCH(12,B4:B29,0),3)</f>
        <v>46</v>
      </c>
      <c r="F15" s="6">
        <f>INDEX('9_oferty p.'!B3:G28,MATCH(12,B4:B29,0),4)</f>
        <v>112</v>
      </c>
      <c r="G15" s="61">
        <f>INDEX('9_oferty p.'!B3:G28,MATCH(12,B4:B29,0),5)</f>
        <v>182</v>
      </c>
      <c r="H15" s="6">
        <f>INDEX('9_oferty p.'!B3:G28,MATCH(12,B4:B29,0),6)</f>
        <v>-24</v>
      </c>
    </row>
    <row r="16" spans="2:8" x14ac:dyDescent="0.2">
      <c r="B16" s="6">
        <f>RANK('9_oferty p.'!C15,'9_oferty p.'!$C$3:'9_oferty p.'!$C$28,1)+COUNTIF('9_oferty p.'!$C$3:'9_oferty p.'!C15,'9_oferty p.'!C15)-1</f>
        <v>21</v>
      </c>
      <c r="C16" s="5" t="str">
        <f>INDEX('9_oferty p.'!B3:G28,MATCH(13,B4:B29,0),1)</f>
        <v>łańcucki</v>
      </c>
      <c r="D16" s="6">
        <f>INDEX('9_oferty p.'!B3:G28,MATCH(13,B4:B29,0),2)</f>
        <v>159</v>
      </c>
      <c r="E16" s="61">
        <f>INDEX('9_oferty p.'!B3:G28,MATCH(13,B4:B29,0),3)</f>
        <v>101</v>
      </c>
      <c r="F16" s="6">
        <f>INDEX('9_oferty p.'!B3:G28,MATCH(13,B4:B29,0),4)</f>
        <v>58</v>
      </c>
      <c r="G16" s="61">
        <f>INDEX('9_oferty p.'!B3:G28,MATCH(13,B4:B29,0),5)</f>
        <v>149</v>
      </c>
      <c r="H16" s="6">
        <f>INDEX('9_oferty p.'!B3:G28,MATCH(13,B4:B29,0),6)</f>
        <v>10</v>
      </c>
    </row>
    <row r="17" spans="2:8" x14ac:dyDescent="0.2">
      <c r="B17" s="6">
        <f>RANK('9_oferty p.'!C16,'9_oferty p.'!$C$3:'9_oferty p.'!$C$28,1)+COUNTIF('9_oferty p.'!$C$3:'9_oferty p.'!C16,'9_oferty p.'!C16)-1</f>
        <v>4</v>
      </c>
      <c r="C17" s="5" t="str">
        <f>INDEX('9_oferty p.'!B3:G28,MATCH(14,B4:B29,0),1)</f>
        <v>ropczycko-sędziszowski</v>
      </c>
      <c r="D17" s="6">
        <f>INDEX('9_oferty p.'!B3:G28,MATCH(14,B4:B29,0),2)</f>
        <v>163</v>
      </c>
      <c r="E17" s="61">
        <f>INDEX('9_oferty p.'!B3:G28,MATCH(14,B4:B29,0),3)</f>
        <v>76</v>
      </c>
      <c r="F17" s="6">
        <f>INDEX('9_oferty p.'!B3:G28,MATCH(14,B4:B29,0),4)</f>
        <v>87</v>
      </c>
      <c r="G17" s="61">
        <f>INDEX('9_oferty p.'!B3:G28,MATCH(14,B4:B29,0),5)</f>
        <v>203</v>
      </c>
      <c r="H17" s="6">
        <f>INDEX('9_oferty p.'!B3:G28,MATCH(14,B4:B29,0),6)</f>
        <v>-40</v>
      </c>
    </row>
    <row r="18" spans="2:8" x14ac:dyDescent="0.2">
      <c r="B18" s="6">
        <f>RANK('9_oferty p.'!C17,'9_oferty p.'!$C$3:'9_oferty p.'!$C$28,1)+COUNTIF('9_oferty p.'!$C$3:'9_oferty p.'!C17,'9_oferty p.'!C17)-1</f>
        <v>16</v>
      </c>
      <c r="C18" s="5" t="str">
        <f>INDEX('9_oferty p.'!B3:G28,MATCH(15,B4:B29,0),1)</f>
        <v>rzeszowski</v>
      </c>
      <c r="D18" s="6">
        <f>INDEX('9_oferty p.'!B3:G28,MATCH(15,B4:B29,0),2)</f>
        <v>164</v>
      </c>
      <c r="E18" s="61">
        <f>INDEX('9_oferty p.'!B3:G28,MATCH(15,B4:B29,0),3)</f>
        <v>248</v>
      </c>
      <c r="F18" s="6">
        <f>INDEX('9_oferty p.'!B3:G28,MATCH(15,B4:B29,0),4)</f>
        <v>-84</v>
      </c>
      <c r="G18" s="61">
        <f>INDEX('9_oferty p.'!B3:G28,MATCH(15,B4:B29,0),5)</f>
        <v>298</v>
      </c>
      <c r="H18" s="6">
        <f>INDEX('9_oferty p.'!B3:G28,MATCH(15,B4:B29,0),6)</f>
        <v>-134</v>
      </c>
    </row>
    <row r="19" spans="2:8" x14ac:dyDescent="0.2">
      <c r="B19" s="6">
        <f>RANK('9_oferty p.'!C18,'9_oferty p.'!$C$3:'9_oferty p.'!$C$28,1)+COUNTIF('9_oferty p.'!$C$3:'9_oferty p.'!C18,'9_oferty p.'!C18)-1</f>
        <v>14</v>
      </c>
      <c r="C19" s="5" t="str">
        <f>INDEX('9_oferty p.'!B3:G28,MATCH(16,B4:B29,0),1)</f>
        <v>przeworski</v>
      </c>
      <c r="D19" s="6">
        <f>INDEX('9_oferty p.'!B3:G28,MATCH(16,B4:B29,0),2)</f>
        <v>167</v>
      </c>
      <c r="E19" s="61">
        <f>INDEX('9_oferty p.'!B3:G28,MATCH(16,B4:B29,0),3)</f>
        <v>61</v>
      </c>
      <c r="F19" s="6">
        <f>INDEX('9_oferty p.'!B3:G28,MATCH(16,B4:B29,0),4)</f>
        <v>106</v>
      </c>
      <c r="G19" s="61">
        <f>INDEX('9_oferty p.'!B3:G28,MATCH(16,B4:B29,0),5)</f>
        <v>305</v>
      </c>
      <c r="H19" s="6">
        <f>INDEX('9_oferty p.'!B3:G28,MATCH(16,B4:B29,0),6)</f>
        <v>-138</v>
      </c>
    </row>
    <row r="20" spans="2:8" x14ac:dyDescent="0.2">
      <c r="B20" s="6">
        <f>RANK('9_oferty p.'!C19,'9_oferty p.'!$C$3:'9_oferty p.'!$C$28,1)+COUNTIF('9_oferty p.'!$C$3:'9_oferty p.'!C19,'9_oferty p.'!C19)-1</f>
        <v>15</v>
      </c>
      <c r="C20" s="5" t="str">
        <f>INDEX('9_oferty p.'!B3:G28,MATCH(17,B4:B29,0),1)</f>
        <v>sanocki</v>
      </c>
      <c r="D20" s="6">
        <f>INDEX('9_oferty p.'!B3:G28,MATCH(17,B4:B29,0),2)</f>
        <v>198</v>
      </c>
      <c r="E20" s="61">
        <f>INDEX('9_oferty p.'!B3:G28,MATCH(17,B4:B29,0),3)</f>
        <v>93</v>
      </c>
      <c r="F20" s="6">
        <f>INDEX('9_oferty p.'!B3:G28,MATCH(17,B4:B29,0),4)</f>
        <v>105</v>
      </c>
      <c r="G20" s="61">
        <f>INDEX('9_oferty p.'!B3:G28,MATCH(17,B4:B29,0),5)</f>
        <v>102</v>
      </c>
      <c r="H20" s="6">
        <f>INDEX('9_oferty p.'!B3:G28,MATCH(17,B4:B29,0),6)</f>
        <v>96</v>
      </c>
    </row>
    <row r="21" spans="2:8" x14ac:dyDescent="0.2">
      <c r="B21" s="6">
        <f>RANK('9_oferty p.'!C20,'9_oferty p.'!$C$3:'9_oferty p.'!$C$28,1)+COUNTIF('9_oferty p.'!$C$3:'9_oferty p.'!C20,'9_oferty p.'!C20)-1</f>
        <v>17</v>
      </c>
      <c r="C21" s="5" t="str">
        <f>INDEX('9_oferty p.'!B3:G28,MATCH(18,B4:B29,0),1)</f>
        <v>jarosławski</v>
      </c>
      <c r="D21" s="6">
        <f>INDEX('9_oferty p.'!B3:G28,MATCH(18,B4:B29,0),2)</f>
        <v>202</v>
      </c>
      <c r="E21" s="61">
        <f>INDEX('9_oferty p.'!B3:G28,MATCH(18,B4:B29,0),3)</f>
        <v>359</v>
      </c>
      <c r="F21" s="6">
        <f>INDEX('9_oferty p.'!B3:G28,MATCH(18,B4:B29,0),4)</f>
        <v>-157</v>
      </c>
      <c r="G21" s="61">
        <f>INDEX('9_oferty p.'!B3:G28,MATCH(18,B4:B29,0),5)</f>
        <v>291</v>
      </c>
      <c r="H21" s="6">
        <f>INDEX('9_oferty p.'!B3:G28,MATCH(18,B4:B29,0),6)</f>
        <v>-89</v>
      </c>
    </row>
    <row r="22" spans="2:8" x14ac:dyDescent="0.2">
      <c r="B22" s="6">
        <f>RANK('9_oferty p.'!C21,'9_oferty p.'!$C$3:'9_oferty p.'!$C$28,1)+COUNTIF('9_oferty p.'!$C$3:'9_oferty p.'!C21,'9_oferty p.'!C21)-1</f>
        <v>7</v>
      </c>
      <c r="C22" s="5" t="str">
        <f>INDEX('9_oferty p.'!B3:G28,MATCH(19,B4:B29,0),1)</f>
        <v>jasielski</v>
      </c>
      <c r="D22" s="6">
        <f>INDEX('9_oferty p.'!B3:G28,MATCH(19,B4:B29,0),2)</f>
        <v>209</v>
      </c>
      <c r="E22" s="61">
        <f>INDEX('9_oferty p.'!B3:G28,MATCH(19,B4:B29,0),3)</f>
        <v>240</v>
      </c>
      <c r="F22" s="6">
        <f>INDEX('9_oferty p.'!B3:G28,MATCH(19,B4:B29,0),4)</f>
        <v>-31</v>
      </c>
      <c r="G22" s="61">
        <f>INDEX('9_oferty p.'!B3:G28,MATCH(19,B4:B29,0),5)</f>
        <v>271</v>
      </c>
      <c r="H22" s="6">
        <f>INDEX('9_oferty p.'!B3:G28,MATCH(19,B4:B29,0),6)</f>
        <v>-62</v>
      </c>
    </row>
    <row r="23" spans="2:8" x14ac:dyDescent="0.2">
      <c r="B23" s="6">
        <f>RANK('9_oferty p.'!C22,'9_oferty p.'!$C$3:'9_oferty p.'!$C$28,1)+COUNTIF('9_oferty p.'!$C$3:'9_oferty p.'!C22,'9_oferty p.'!C22)-1</f>
        <v>22</v>
      </c>
      <c r="C23" s="5" t="str">
        <f>INDEX('9_oferty p.'!B3:G28,MATCH(20,B4:B29,0),1)</f>
        <v>leżajski</v>
      </c>
      <c r="D23" s="6">
        <f>INDEX('9_oferty p.'!B3:G28,MATCH(20,B4:B29,0),2)</f>
        <v>212</v>
      </c>
      <c r="E23" s="61">
        <f>INDEX('9_oferty p.'!B3:G28,MATCH(20,B4:B29,0),3)</f>
        <v>35</v>
      </c>
      <c r="F23" s="6">
        <f>INDEX('9_oferty p.'!B3:G28,MATCH(20,B4:B29,0),4)</f>
        <v>177</v>
      </c>
      <c r="G23" s="61">
        <f>INDEX('9_oferty p.'!B3:G28,MATCH(20,B4:B29,0),5)</f>
        <v>128</v>
      </c>
      <c r="H23" s="6">
        <f>INDEX('9_oferty p.'!B3:G28,MATCH(20,B4:B29,0),6)</f>
        <v>84</v>
      </c>
    </row>
    <row r="24" spans="2:8" x14ac:dyDescent="0.2">
      <c r="B24" s="6">
        <f>RANK('9_oferty p.'!C23,'9_oferty p.'!$C$3:'9_oferty p.'!$C$28,1)+COUNTIF('9_oferty p.'!$C$3:'9_oferty p.'!C23,'9_oferty p.'!C23)-1</f>
        <v>12</v>
      </c>
      <c r="C24" s="5" t="str">
        <f>INDEX('9_oferty p.'!B3:G28,MATCH(21,B4:B29,0),1)</f>
        <v>niżański</v>
      </c>
      <c r="D24" s="6">
        <f>INDEX('9_oferty p.'!B3:G28,MATCH(21,B4:B29,0),2)</f>
        <v>223</v>
      </c>
      <c r="E24" s="61">
        <f>INDEX('9_oferty p.'!B3:G28,MATCH(21,B4:B29,0),3)</f>
        <v>364</v>
      </c>
      <c r="F24" s="6">
        <f>INDEX('9_oferty p.'!B3:G28,MATCH(21,B4:B29,0),4)</f>
        <v>-141</v>
      </c>
      <c r="G24" s="61">
        <f>INDEX('9_oferty p.'!B3:G28,MATCH(21,B4:B29,0),5)</f>
        <v>163</v>
      </c>
      <c r="H24" s="6">
        <f>INDEX('9_oferty p.'!B3:G28,MATCH(21,B4:B29,0),6)</f>
        <v>60</v>
      </c>
    </row>
    <row r="25" spans="2:8" x14ac:dyDescent="0.2">
      <c r="B25" s="6">
        <f>RANK('9_oferty p.'!C24,'9_oferty p.'!$C$3:'9_oferty p.'!$C$28,1)+COUNTIF('9_oferty p.'!$C$3:'9_oferty p.'!C24,'9_oferty p.'!C24)-1</f>
        <v>2</v>
      </c>
      <c r="C25" s="5" t="str">
        <f>INDEX('9_oferty p.'!B3:G28,MATCH(22,B4:B29,0),1)</f>
        <v>strzyżowski</v>
      </c>
      <c r="D25" s="6">
        <f>INDEX('9_oferty p.'!B3:G28,MATCH(22,B4:B29,0),2)</f>
        <v>232</v>
      </c>
      <c r="E25" s="61">
        <f>INDEX('9_oferty p.'!B3:G28,MATCH(22,B4:B29,0),3)</f>
        <v>628</v>
      </c>
      <c r="F25" s="6">
        <f>INDEX('9_oferty p.'!B3:G28,MATCH(22,B4:B29,0),4)</f>
        <v>-396</v>
      </c>
      <c r="G25" s="61">
        <f>INDEX('9_oferty p.'!B3:G28,MATCH(22,B4:B29,0),5)</f>
        <v>266</v>
      </c>
      <c r="H25" s="6">
        <f>INDEX('9_oferty p.'!B3:G28,MATCH(22,B4:B29,0),6)</f>
        <v>-34</v>
      </c>
    </row>
    <row r="26" spans="2:8" x14ac:dyDescent="0.2">
      <c r="B26" s="6">
        <f>RANK('9_oferty p.'!C25,'9_oferty p.'!$C$3:'9_oferty p.'!$C$28,1)+COUNTIF('9_oferty p.'!$C$3:'9_oferty p.'!C25,'9_oferty p.'!C25)-1</f>
        <v>9</v>
      </c>
      <c r="C26" s="5" t="str">
        <f>INDEX('9_oferty p.'!B3:G28,MATCH(23,B4:B29,0),1)</f>
        <v>mielecki</v>
      </c>
      <c r="D26" s="6">
        <f>INDEX('9_oferty p.'!B3:G28,MATCH(23,B4:B29,0),2)</f>
        <v>263</v>
      </c>
      <c r="E26" s="61">
        <f>INDEX('9_oferty p.'!B3:G28,MATCH(23,B4:B29,0),3)</f>
        <v>150</v>
      </c>
      <c r="F26" s="6">
        <f>INDEX('9_oferty p.'!B3:G28,MATCH(23,B4:B29,0),4)</f>
        <v>113</v>
      </c>
      <c r="G26" s="61">
        <f>INDEX('9_oferty p.'!B3:G28,MATCH(23,B4:B29,0),5)</f>
        <v>697</v>
      </c>
      <c r="H26" s="6">
        <f>INDEX('9_oferty p.'!B3:G28,MATCH(23,B4:B29,0),6)</f>
        <v>-434</v>
      </c>
    </row>
    <row r="27" spans="2:8" x14ac:dyDescent="0.2">
      <c r="B27" s="6">
        <f>RANK('9_oferty p.'!C26,'9_oferty p.'!$C$3:'9_oferty p.'!$C$28,1)+COUNTIF('9_oferty p.'!$C$3:'9_oferty p.'!C26,'9_oferty p.'!C26)-1</f>
        <v>25</v>
      </c>
      <c r="C27" s="5" t="str">
        <f>INDEX('9_oferty p.'!B3:G28,MATCH(24,B4:B29,0),1)</f>
        <v>dębicki</v>
      </c>
      <c r="D27" s="6">
        <f>INDEX('9_oferty p.'!B3:G28,MATCH(24,B4:B29,0),2)</f>
        <v>282</v>
      </c>
      <c r="E27" s="61">
        <f>INDEX('9_oferty p.'!B3:G28,MATCH(24,B4:B29,0),3)</f>
        <v>282</v>
      </c>
      <c r="F27" s="6">
        <f>INDEX('9_oferty p.'!B3:G28,MATCH(24,B4:B29,0),4)</f>
        <v>0</v>
      </c>
      <c r="G27" s="61">
        <f>INDEX('9_oferty p.'!B3:G28,MATCH(24,B4:B29,0),5)</f>
        <v>358</v>
      </c>
      <c r="H27" s="6">
        <f>INDEX('9_oferty p.'!B3:G28,MATCH(24,B4:B29,0),6)</f>
        <v>-76</v>
      </c>
    </row>
    <row r="28" spans="2:8" x14ac:dyDescent="0.2">
      <c r="B28" s="6">
        <f>RANK('9_oferty p.'!C27,'9_oferty p.'!$C$3:'9_oferty p.'!$C$28,1)+COUNTIF('9_oferty p.'!$C$3:'9_oferty p.'!C27,'9_oferty p.'!C27)-1</f>
        <v>10</v>
      </c>
      <c r="C28" s="5" t="str">
        <f>INDEX('9_oferty p.'!B3:G28,MATCH(25,B4:B29,0),1)</f>
        <v>Rzeszów</v>
      </c>
      <c r="D28" s="6">
        <f>INDEX('9_oferty p.'!B3:G28,MATCH(25,B4:B29,0),2)</f>
        <v>624</v>
      </c>
      <c r="E28" s="61">
        <f>INDEX('9_oferty p.'!B3:G28,MATCH(25,B4:B29,0),3)</f>
        <v>142</v>
      </c>
      <c r="F28" s="6">
        <f>INDEX('9_oferty p.'!B3:G28,MATCH(25,B4:B29,0),4)</f>
        <v>482</v>
      </c>
      <c r="G28" s="61">
        <f>INDEX('9_oferty p.'!B3:G28,MATCH(25,B4:B29,0),5)</f>
        <v>1181</v>
      </c>
      <c r="H28" s="6">
        <f>INDEX('9_oferty p.'!B3:G28,MATCH(25,B4:B29,0),6)</f>
        <v>-557</v>
      </c>
    </row>
    <row r="29" spans="2:8" ht="15" x14ac:dyDescent="0.25">
      <c r="B29" s="22">
        <f>RANK('9_oferty p.'!C28,'9_oferty p.'!$C$3:'9_oferty p.'!$C$28,1)+COUNTIF('9_oferty p.'!$C$3:'9_oferty p.'!C28,'9_oferty p.'!C28)-1</f>
        <v>26</v>
      </c>
      <c r="C29" s="58" t="str">
        <f>INDEX('9_oferty p.'!B3:G28,MATCH(26,B4:B29,0),1)</f>
        <v>województwo</v>
      </c>
      <c r="D29" s="59">
        <f>INDEX('9_oferty p.'!B3:G28,MATCH(26,B4:B29,0),2)</f>
        <v>4132</v>
      </c>
      <c r="E29" s="63">
        <f>INDEX('9_oferty p.'!B3:G28,MATCH(26,B4:B29,0),3)</f>
        <v>4270</v>
      </c>
      <c r="F29" s="59">
        <f>INDEX('9_oferty p.'!B3:G28,MATCH(26,B4:B29,0),4)</f>
        <v>-138</v>
      </c>
      <c r="G29" s="63">
        <f>INDEX('9_oferty p.'!B3:G28,MATCH(26,B4:B29,0),5)</f>
        <v>6008</v>
      </c>
      <c r="H29" s="59">
        <f>INDEX('9_oferty p.'!B3:G28,MATCH(26,B4:B29,0),6)</f>
        <v>-1876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C0DA"/>
    <pageSetUpPr fitToPage="1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49" t="s">
        <v>92</v>
      </c>
      <c r="C1" s="47"/>
      <c r="D1" s="47"/>
      <c r="E1" s="47"/>
      <c r="F1" s="47"/>
      <c r="G1" s="47"/>
      <c r="H1" s="48"/>
      <c r="I1" s="48"/>
      <c r="J1" s="48"/>
      <c r="K1" s="48"/>
    </row>
    <row r="2" spans="2:11" ht="14.25" customHeight="1" x14ac:dyDescent="0.2">
      <c r="B2" s="1" t="s">
        <v>93</v>
      </c>
      <c r="C2" s="42"/>
      <c r="D2" s="42"/>
      <c r="E2" s="42"/>
      <c r="F2" s="42"/>
      <c r="G2" s="42"/>
      <c r="H2" s="48"/>
      <c r="I2" s="48"/>
      <c r="J2" s="48"/>
      <c r="K2" s="48"/>
    </row>
    <row r="3" spans="2:11" ht="57" x14ac:dyDescent="0.2">
      <c r="B3" s="55" t="s">
        <v>27</v>
      </c>
      <c r="C3" s="56" t="s">
        <v>128</v>
      </c>
      <c r="D3" s="57" t="s">
        <v>110</v>
      </c>
      <c r="E3" s="56" t="s">
        <v>28</v>
      </c>
      <c r="F3" s="57" t="s">
        <v>129</v>
      </c>
      <c r="G3" s="56" t="s">
        <v>26</v>
      </c>
    </row>
    <row r="4" spans="2:11" x14ac:dyDescent="0.2">
      <c r="B4" s="5" t="s">
        <v>0</v>
      </c>
      <c r="C4" s="45">
        <v>21</v>
      </c>
      <c r="D4" s="61">
        <v>66</v>
      </c>
      <c r="E4" s="45">
        <f t="shared" ref="E4:E28" si="0">SUM(C4)-D4</f>
        <v>-45</v>
      </c>
      <c r="F4" s="61">
        <v>43</v>
      </c>
      <c r="G4" s="45">
        <f t="shared" ref="G4:G28" si="1">SUM(C4)-F4</f>
        <v>-22</v>
      </c>
      <c r="H4" s="7"/>
    </row>
    <row r="5" spans="2:11" x14ac:dyDescent="0.2">
      <c r="B5" s="5" t="s">
        <v>1</v>
      </c>
      <c r="C5" s="45">
        <v>117</v>
      </c>
      <c r="D5" s="61">
        <v>46</v>
      </c>
      <c r="E5" s="45">
        <f t="shared" si="0"/>
        <v>71</v>
      </c>
      <c r="F5" s="61">
        <v>104</v>
      </c>
      <c r="G5" s="45">
        <f t="shared" si="1"/>
        <v>13</v>
      </c>
      <c r="H5" s="7"/>
    </row>
    <row r="6" spans="2:11" x14ac:dyDescent="0.2">
      <c r="B6" s="5" t="s">
        <v>2</v>
      </c>
      <c r="C6" s="45">
        <v>54</v>
      </c>
      <c r="D6" s="61">
        <v>88</v>
      </c>
      <c r="E6" s="45">
        <f t="shared" si="0"/>
        <v>-34</v>
      </c>
      <c r="F6" s="61">
        <v>60</v>
      </c>
      <c r="G6" s="45">
        <f t="shared" si="1"/>
        <v>-6</v>
      </c>
      <c r="H6" s="7"/>
    </row>
    <row r="7" spans="2:11" x14ac:dyDescent="0.2">
      <c r="B7" s="5" t="s">
        <v>3</v>
      </c>
      <c r="C7" s="45">
        <v>78</v>
      </c>
      <c r="D7" s="61">
        <v>281</v>
      </c>
      <c r="E7" s="45">
        <f t="shared" si="0"/>
        <v>-203</v>
      </c>
      <c r="F7" s="61">
        <v>193</v>
      </c>
      <c r="G7" s="45">
        <f t="shared" si="1"/>
        <v>-115</v>
      </c>
      <c r="H7" s="7"/>
    </row>
    <row r="8" spans="2:11" x14ac:dyDescent="0.2">
      <c r="B8" s="5" t="s">
        <v>4</v>
      </c>
      <c r="C8" s="45">
        <v>118</v>
      </c>
      <c r="D8" s="61">
        <v>123</v>
      </c>
      <c r="E8" s="45">
        <f t="shared" si="0"/>
        <v>-5</v>
      </c>
      <c r="F8" s="61">
        <v>181</v>
      </c>
      <c r="G8" s="45">
        <f t="shared" si="1"/>
        <v>-63</v>
      </c>
      <c r="H8" s="7"/>
    </row>
    <row r="9" spans="2:11" x14ac:dyDescent="0.2">
      <c r="B9" s="5" t="s">
        <v>5</v>
      </c>
      <c r="C9" s="45">
        <v>45</v>
      </c>
      <c r="D9" s="61">
        <v>78</v>
      </c>
      <c r="E9" s="45">
        <f t="shared" si="0"/>
        <v>-33</v>
      </c>
      <c r="F9" s="61">
        <v>85</v>
      </c>
      <c r="G9" s="45">
        <f t="shared" si="1"/>
        <v>-40</v>
      </c>
      <c r="H9" s="7"/>
    </row>
    <row r="10" spans="2:11" x14ac:dyDescent="0.2">
      <c r="B10" s="9" t="s">
        <v>6</v>
      </c>
      <c r="C10" s="45">
        <v>32</v>
      </c>
      <c r="D10" s="61">
        <v>33</v>
      </c>
      <c r="E10" s="45">
        <f t="shared" si="0"/>
        <v>-1</v>
      </c>
      <c r="F10" s="61">
        <v>52</v>
      </c>
      <c r="G10" s="45">
        <f t="shared" si="1"/>
        <v>-20</v>
      </c>
      <c r="H10" s="7"/>
    </row>
    <row r="11" spans="2:11" x14ac:dyDescent="0.2">
      <c r="B11" s="5" t="s">
        <v>7</v>
      </c>
      <c r="C11" s="45">
        <v>38</v>
      </c>
      <c r="D11" s="61">
        <v>26</v>
      </c>
      <c r="E11" s="45">
        <f t="shared" si="0"/>
        <v>12</v>
      </c>
      <c r="F11" s="61">
        <v>39</v>
      </c>
      <c r="G11" s="45">
        <f t="shared" si="1"/>
        <v>-1</v>
      </c>
      <c r="H11" s="7"/>
    </row>
    <row r="12" spans="2:11" x14ac:dyDescent="0.2">
      <c r="B12" s="5" t="s">
        <v>8</v>
      </c>
      <c r="C12" s="45">
        <v>126</v>
      </c>
      <c r="D12" s="61">
        <v>113</v>
      </c>
      <c r="E12" s="45">
        <f t="shared" si="0"/>
        <v>13</v>
      </c>
      <c r="F12" s="61">
        <v>93</v>
      </c>
      <c r="G12" s="45">
        <f t="shared" si="1"/>
        <v>33</v>
      </c>
      <c r="H12" s="7"/>
    </row>
    <row r="13" spans="2:11" x14ac:dyDescent="0.2">
      <c r="B13" s="5" t="s">
        <v>9</v>
      </c>
      <c r="C13" s="45">
        <v>52</v>
      </c>
      <c r="D13" s="61">
        <v>79</v>
      </c>
      <c r="E13" s="45">
        <f t="shared" si="0"/>
        <v>-27</v>
      </c>
      <c r="F13" s="61">
        <v>86</v>
      </c>
      <c r="G13" s="45">
        <f t="shared" si="1"/>
        <v>-34</v>
      </c>
      <c r="H13" s="7"/>
    </row>
    <row r="14" spans="2:11" x14ac:dyDescent="0.2">
      <c r="B14" s="5" t="s">
        <v>10</v>
      </c>
      <c r="C14" s="45">
        <v>110</v>
      </c>
      <c r="D14" s="61">
        <v>123</v>
      </c>
      <c r="E14" s="45">
        <f t="shared" si="0"/>
        <v>-13</v>
      </c>
      <c r="F14" s="61">
        <v>94</v>
      </c>
      <c r="G14" s="45">
        <f t="shared" si="1"/>
        <v>16</v>
      </c>
      <c r="H14" s="7"/>
    </row>
    <row r="15" spans="2:11" x14ac:dyDescent="0.2">
      <c r="B15" s="5" t="s">
        <v>11</v>
      </c>
      <c r="C15" s="45">
        <v>67</v>
      </c>
      <c r="D15" s="61">
        <v>130</v>
      </c>
      <c r="E15" s="45">
        <f t="shared" si="0"/>
        <v>-63</v>
      </c>
      <c r="F15" s="61">
        <v>174</v>
      </c>
      <c r="G15" s="45">
        <f t="shared" si="1"/>
        <v>-107</v>
      </c>
      <c r="H15" s="7"/>
    </row>
    <row r="16" spans="2:11" x14ac:dyDescent="0.2">
      <c r="B16" s="5" t="s">
        <v>12</v>
      </c>
      <c r="C16" s="45">
        <v>194</v>
      </c>
      <c r="D16" s="61">
        <v>69</v>
      </c>
      <c r="E16" s="45">
        <f t="shared" si="0"/>
        <v>125</v>
      </c>
      <c r="F16" s="61">
        <v>129</v>
      </c>
      <c r="G16" s="45">
        <f t="shared" si="1"/>
        <v>65</v>
      </c>
      <c r="H16" s="7"/>
    </row>
    <row r="17" spans="2:8" x14ac:dyDescent="0.2">
      <c r="B17" s="5" t="s">
        <v>13</v>
      </c>
      <c r="C17" s="45">
        <v>51</v>
      </c>
      <c r="D17" s="61">
        <v>48</v>
      </c>
      <c r="E17" s="45">
        <f t="shared" si="0"/>
        <v>3</v>
      </c>
      <c r="F17" s="61">
        <v>82</v>
      </c>
      <c r="G17" s="45">
        <f t="shared" si="1"/>
        <v>-31</v>
      </c>
      <c r="H17" s="7"/>
    </row>
    <row r="18" spans="2:8" x14ac:dyDescent="0.2">
      <c r="B18" s="5" t="s">
        <v>14</v>
      </c>
      <c r="C18" s="45">
        <v>59</v>
      </c>
      <c r="D18" s="61">
        <v>144</v>
      </c>
      <c r="E18" s="45">
        <f t="shared" si="0"/>
        <v>-85</v>
      </c>
      <c r="F18" s="61">
        <v>209</v>
      </c>
      <c r="G18" s="45">
        <f t="shared" si="1"/>
        <v>-150</v>
      </c>
      <c r="H18" s="7"/>
    </row>
    <row r="19" spans="2:8" x14ac:dyDescent="0.2">
      <c r="B19" s="5" t="s">
        <v>15</v>
      </c>
      <c r="C19" s="45">
        <v>107</v>
      </c>
      <c r="D19" s="61">
        <v>49</v>
      </c>
      <c r="E19" s="45">
        <f t="shared" si="0"/>
        <v>58</v>
      </c>
      <c r="F19" s="61">
        <v>93</v>
      </c>
      <c r="G19" s="45">
        <f t="shared" si="1"/>
        <v>14</v>
      </c>
      <c r="H19" s="7"/>
    </row>
    <row r="20" spans="2:8" x14ac:dyDescent="0.2">
      <c r="B20" s="5" t="s">
        <v>16</v>
      </c>
      <c r="C20" s="45">
        <v>71</v>
      </c>
      <c r="D20" s="61">
        <v>34</v>
      </c>
      <c r="E20" s="45">
        <f t="shared" si="0"/>
        <v>37</v>
      </c>
      <c r="F20" s="61">
        <v>101</v>
      </c>
      <c r="G20" s="45">
        <f t="shared" si="1"/>
        <v>-30</v>
      </c>
      <c r="H20" s="7"/>
    </row>
    <row r="21" spans="2:8" x14ac:dyDescent="0.2">
      <c r="B21" s="5" t="s">
        <v>17</v>
      </c>
      <c r="C21" s="45">
        <v>69</v>
      </c>
      <c r="D21" s="61">
        <v>26</v>
      </c>
      <c r="E21" s="45">
        <f t="shared" si="0"/>
        <v>43</v>
      </c>
      <c r="F21" s="61">
        <v>56</v>
      </c>
      <c r="G21" s="45">
        <f t="shared" si="1"/>
        <v>13</v>
      </c>
      <c r="H21" s="7"/>
    </row>
    <row r="22" spans="2:8" x14ac:dyDescent="0.2">
      <c r="B22" s="5" t="s">
        <v>18</v>
      </c>
      <c r="C22" s="45">
        <v>33</v>
      </c>
      <c r="D22" s="61">
        <v>75</v>
      </c>
      <c r="E22" s="45">
        <f t="shared" si="0"/>
        <v>-42</v>
      </c>
      <c r="F22" s="61">
        <v>96</v>
      </c>
      <c r="G22" s="45">
        <f t="shared" si="1"/>
        <v>-63</v>
      </c>
      <c r="H22" s="7"/>
    </row>
    <row r="23" spans="2:8" x14ac:dyDescent="0.2">
      <c r="B23" s="5" t="s">
        <v>19</v>
      </c>
      <c r="C23" s="45">
        <v>157</v>
      </c>
      <c r="D23" s="61">
        <v>143</v>
      </c>
      <c r="E23" s="45">
        <f t="shared" si="0"/>
        <v>14</v>
      </c>
      <c r="F23" s="61">
        <v>152</v>
      </c>
      <c r="G23" s="45">
        <f t="shared" si="1"/>
        <v>5</v>
      </c>
      <c r="H23" s="7"/>
    </row>
    <row r="24" spans="2:8" x14ac:dyDescent="0.2">
      <c r="B24" s="5" t="s">
        <v>20</v>
      </c>
      <c r="C24" s="45">
        <v>60</v>
      </c>
      <c r="D24" s="61">
        <v>98</v>
      </c>
      <c r="E24" s="45">
        <f t="shared" si="0"/>
        <v>-38</v>
      </c>
      <c r="F24" s="61">
        <v>66</v>
      </c>
      <c r="G24" s="45">
        <f t="shared" si="1"/>
        <v>-6</v>
      </c>
      <c r="H24" s="7"/>
    </row>
    <row r="25" spans="2:8" x14ac:dyDescent="0.2">
      <c r="B25" s="5" t="s">
        <v>21</v>
      </c>
      <c r="C25" s="45">
        <v>22</v>
      </c>
      <c r="D25" s="61">
        <v>74</v>
      </c>
      <c r="E25" s="45">
        <f t="shared" si="0"/>
        <v>-52</v>
      </c>
      <c r="F25" s="61">
        <v>53</v>
      </c>
      <c r="G25" s="45">
        <f t="shared" si="1"/>
        <v>-31</v>
      </c>
      <c r="H25" s="7"/>
    </row>
    <row r="26" spans="2:8" x14ac:dyDescent="0.2">
      <c r="B26" s="5" t="s">
        <v>22</v>
      </c>
      <c r="C26" s="45">
        <v>69</v>
      </c>
      <c r="D26" s="61">
        <v>49</v>
      </c>
      <c r="E26" s="45">
        <f t="shared" si="0"/>
        <v>20</v>
      </c>
      <c r="F26" s="61">
        <v>65</v>
      </c>
      <c r="G26" s="45">
        <f t="shared" si="1"/>
        <v>4</v>
      </c>
      <c r="H26" s="7"/>
    </row>
    <row r="27" spans="2:8" x14ac:dyDescent="0.2">
      <c r="B27" s="5" t="s">
        <v>23</v>
      </c>
      <c r="C27" s="45">
        <v>95</v>
      </c>
      <c r="D27" s="61">
        <v>97</v>
      </c>
      <c r="E27" s="45">
        <f t="shared" si="0"/>
        <v>-2</v>
      </c>
      <c r="F27" s="61">
        <v>131</v>
      </c>
      <c r="G27" s="45">
        <f t="shared" si="1"/>
        <v>-36</v>
      </c>
      <c r="H27" s="7"/>
    </row>
    <row r="28" spans="2:8" x14ac:dyDescent="0.2">
      <c r="B28" s="5" t="s">
        <v>24</v>
      </c>
      <c r="C28" s="45">
        <v>44</v>
      </c>
      <c r="D28" s="61">
        <v>61</v>
      </c>
      <c r="E28" s="45">
        <f t="shared" si="0"/>
        <v>-17</v>
      </c>
      <c r="F28" s="61">
        <v>64</v>
      </c>
      <c r="G28" s="45">
        <f t="shared" si="1"/>
        <v>-20</v>
      </c>
      <c r="H28" s="7"/>
    </row>
    <row r="29" spans="2:8" ht="15" x14ac:dyDescent="0.25">
      <c r="B29" s="58" t="s">
        <v>25</v>
      </c>
      <c r="C29" s="79">
        <f>SUM(C4:C28)</f>
        <v>1889</v>
      </c>
      <c r="D29" s="63">
        <f>SUM(D4:D28)</f>
        <v>2153</v>
      </c>
      <c r="E29" s="79">
        <f>SUM(E4:E28)</f>
        <v>-264</v>
      </c>
      <c r="F29" s="63">
        <f>SUM(F4:F28)</f>
        <v>2501</v>
      </c>
      <c r="G29" s="79">
        <f>SUM(G4:G28)</f>
        <v>-612</v>
      </c>
      <c r="H29" s="7"/>
    </row>
    <row r="30" spans="2:8" ht="12" customHeight="1" x14ac:dyDescent="0.2">
      <c r="B30" s="4"/>
      <c r="C30" s="19"/>
      <c r="E30" s="7"/>
      <c r="G30" s="7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5" style="3" customWidth="1"/>
    <col min="4" max="4" width="15" style="3" customWidth="1"/>
    <col min="5" max="5" width="14.42578125" style="3" customWidth="1"/>
    <col min="6" max="6" width="14.85546875" style="3" customWidth="1"/>
    <col min="7" max="7" width="15.570312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20"/>
      <c r="D2" s="21"/>
    </row>
    <row r="3" spans="2:8" ht="69" customHeight="1" x14ac:dyDescent="0.2">
      <c r="B3" s="62" t="s">
        <v>88</v>
      </c>
      <c r="C3" s="55" t="str">
        <f>T('1_bezr.'!B2)</f>
        <v>powiaty</v>
      </c>
      <c r="D3" s="56" t="str">
        <f>T('1_bezr.'!C2)</f>
        <v>liczba bezrobotnych ogółem stan na 31 III '23 r.</v>
      </c>
      <c r="E3" s="57" t="str">
        <f>T('1_bezr.'!D2)</f>
        <v>liczba bezrobotnych ogółem stan na 28 II '23 r.</v>
      </c>
      <c r="F3" s="56" t="str">
        <f>T('1_bezr.'!E2)</f>
        <v>wzrost/spadek do miesiąca poprzedniego</v>
      </c>
      <c r="G3" s="57" t="str">
        <f>T('1_bezr.'!F2)</f>
        <v>liczba bezrobotnych ogółem stan na 31 III '22 r.</v>
      </c>
      <c r="H3" s="56" t="str">
        <f>T('1_bezr.'!G2)</f>
        <v>wzrost/spadek do analogicznego okresu ubr.</v>
      </c>
    </row>
    <row r="4" spans="2:8" x14ac:dyDescent="0.2">
      <c r="B4" s="6">
        <f>RANK('1_bezr.'!C3,'1_bezr.'!$C$3:'1_bezr.'!$C$28,1)+COUNTIF('1_bezr.'!$C$3:'1_bezr.'!C3,'1_bezr.'!C3)-1</f>
        <v>3</v>
      </c>
      <c r="C4" s="5" t="str">
        <f>INDEX('1_bezr.'!B3:G28,MATCH(1,B4:B29,0),1)</f>
        <v>Krosno</v>
      </c>
      <c r="D4" s="25">
        <f>INDEX('1_bezr.'!B3:G28,MATCH(1,B4:B29,0),2)</f>
        <v>778</v>
      </c>
      <c r="E4" s="61">
        <f>INDEX('1_bezr.'!B3:G28,MATCH(1,B4:B29,0),3)</f>
        <v>802</v>
      </c>
      <c r="F4" s="6">
        <f>INDEX('1_bezr.'!B3:G28,MATCH(1,B4:B29,0),4)</f>
        <v>-24</v>
      </c>
      <c r="G4" s="61">
        <f>INDEX('1_bezr.'!B3:G28,MATCH(1,B4:B29,0),5)</f>
        <v>790</v>
      </c>
      <c r="H4" s="6">
        <f>INDEX('1_bezr.'!B3:G28,MATCH(1,B4:B29,0),6)</f>
        <v>-12</v>
      </c>
    </row>
    <row r="5" spans="2:8" x14ac:dyDescent="0.2">
      <c r="B5" s="6">
        <f>RANK('1_bezr.'!C4,'1_bezr.'!$C$3:'1_bezr.'!$C$28,1)+COUNTIF('1_bezr.'!$C$3:'1_bezr.'!C4,'1_bezr.'!C4)-1</f>
        <v>21</v>
      </c>
      <c r="C5" s="5" t="str">
        <f>INDEX('1_bezr.'!B3:G28,MATCH(2,B4:B29,0),1)</f>
        <v>Tarnobrzeg</v>
      </c>
      <c r="D5" s="6">
        <f>INDEX('1_bezr.'!B3:G28,MATCH(2,B4:B29,0),2)</f>
        <v>1125</v>
      </c>
      <c r="E5" s="61">
        <f>INDEX('1_bezr.'!B3:G28,MATCH(2,B4:B29,0),3)</f>
        <v>1155</v>
      </c>
      <c r="F5" s="6">
        <f>INDEX('1_bezr.'!B3:G28,MATCH(2,B4:B29,0),4)</f>
        <v>-30</v>
      </c>
      <c r="G5" s="61">
        <f>INDEX('1_bezr.'!B3:G28,MATCH(2,B4:B29,0),5)</f>
        <v>1432</v>
      </c>
      <c r="H5" s="6">
        <f>INDEX('1_bezr.'!B3:G28,MATCH(2,B4:B29,0),6)</f>
        <v>-307</v>
      </c>
    </row>
    <row r="6" spans="2:8" x14ac:dyDescent="0.2">
      <c r="B6" s="6">
        <f>RANK('1_bezr.'!C5,'1_bezr.'!$C$3:'1_bezr.'!$C$28,1)+COUNTIF('1_bezr.'!$C$3:'1_bezr.'!C5,'1_bezr.'!C5)-1</f>
        <v>11</v>
      </c>
      <c r="C6" s="5" t="str">
        <f>INDEX('1_bezr.'!B3:G28,MATCH(3,B4:B29,0),1)</f>
        <v>bieszczadzki</v>
      </c>
      <c r="D6" s="6">
        <f>INDEX('1_bezr.'!B3:G28,MATCH(3,B4:B29,0),2)</f>
        <v>1142</v>
      </c>
      <c r="E6" s="61">
        <f>INDEX('1_bezr.'!B3:G28,MATCH(3,B4:B29,0),3)</f>
        <v>1168</v>
      </c>
      <c r="F6" s="6">
        <f>INDEX('1_bezr.'!B3:G28,MATCH(3,B4:B29,0),4)</f>
        <v>-26</v>
      </c>
      <c r="G6" s="61">
        <f>INDEX('1_bezr.'!B3:G28,MATCH(3,B4:B29,0),5)</f>
        <v>1180</v>
      </c>
      <c r="H6" s="6">
        <f>INDEX('1_bezr.'!B3:G28,MATCH(3,B4:B29,0),6)</f>
        <v>-38</v>
      </c>
    </row>
    <row r="7" spans="2:8" x14ac:dyDescent="0.2">
      <c r="B7" s="6">
        <f>RANK('1_bezr.'!C6,'1_bezr.'!$C$3:'1_bezr.'!$C$28,1)+COUNTIF('1_bezr.'!$C$3:'1_bezr.'!C6,'1_bezr.'!C6)-1</f>
        <v>22</v>
      </c>
      <c r="C7" s="5" t="str">
        <f>INDEX('1_bezr.'!B3:G28,MATCH(4,B4:B29,0),1)</f>
        <v xml:space="preserve">tarnobrzeski </v>
      </c>
      <c r="D7" s="6">
        <f>INDEX('1_bezr.'!B3:G28,MATCH(4,B4:B29,0),2)</f>
        <v>1325</v>
      </c>
      <c r="E7" s="61">
        <f>INDEX('1_bezr.'!B3:G28,MATCH(4,B4:B29,0),3)</f>
        <v>1376</v>
      </c>
      <c r="F7" s="6">
        <f>INDEX('1_bezr.'!B3:G28,MATCH(4,B4:B29,0),4)</f>
        <v>-51</v>
      </c>
      <c r="G7" s="61">
        <f>INDEX('1_bezr.'!B3:G28,MATCH(4,B4:B29,0),5)</f>
        <v>1611</v>
      </c>
      <c r="H7" s="6">
        <f>INDEX('1_bezr.'!B3:G28,MATCH(4,B4:B29,0),6)</f>
        <v>-286</v>
      </c>
    </row>
    <row r="8" spans="2:8" x14ac:dyDescent="0.2">
      <c r="B8" s="6">
        <f>RANK('1_bezr.'!C7,'1_bezr.'!$C$3:'1_bezr.'!$C$28,1)+COUNTIF('1_bezr.'!$C$3:'1_bezr.'!C7,'1_bezr.'!C7)-1</f>
        <v>24</v>
      </c>
      <c r="C8" s="5" t="str">
        <f>INDEX('1_bezr.'!B3:G28,MATCH(5,B4:B29,0),1)</f>
        <v>kolbuszowski</v>
      </c>
      <c r="D8" s="6">
        <f>INDEX('1_bezr.'!B3:G28,MATCH(5,B4:B29,0),2)</f>
        <v>1672</v>
      </c>
      <c r="E8" s="61">
        <f>INDEX('1_bezr.'!B3:G28,MATCH(5,B4:B29,0),3)</f>
        <v>1710</v>
      </c>
      <c r="F8" s="6">
        <f>INDEX('1_bezr.'!B3:G28,MATCH(5,B4:B29,0),4)</f>
        <v>-38</v>
      </c>
      <c r="G8" s="61">
        <f>INDEX('1_bezr.'!B3:G28,MATCH(5,B4:B29,0),5)</f>
        <v>1827</v>
      </c>
      <c r="H8" s="6">
        <f>INDEX('1_bezr.'!B3:G28,MATCH(5,B4:B29,0),6)</f>
        <v>-155</v>
      </c>
    </row>
    <row r="9" spans="2:8" x14ac:dyDescent="0.2">
      <c r="B9" s="6">
        <f>RANK('1_bezr.'!C8,'1_bezr.'!$C$3:'1_bezr.'!$C$28,1)+COUNTIF('1_bezr.'!$C$3:'1_bezr.'!C8,'1_bezr.'!C8)-1</f>
        <v>5</v>
      </c>
      <c r="C9" s="5" t="str">
        <f>INDEX('1_bezr.'!B3:G28,MATCH(6,B4:B29,0),1)</f>
        <v>leski</v>
      </c>
      <c r="D9" s="6">
        <f>INDEX('1_bezr.'!B3:G28,MATCH(6,B4:B29,0),2)</f>
        <v>1804</v>
      </c>
      <c r="E9" s="61">
        <f>INDEX('1_bezr.'!B3:G28,MATCH(6,B4:B29,0),3)</f>
        <v>1813</v>
      </c>
      <c r="F9" s="6">
        <f>INDEX('1_bezr.'!B3:G28,MATCH(6,B4:B29,0),4)</f>
        <v>-9</v>
      </c>
      <c r="G9" s="61">
        <f>INDEX('1_bezr.'!B3:G28,MATCH(6,B4:B29,0),5)</f>
        <v>1761</v>
      </c>
      <c r="H9" s="6">
        <f>INDEX('1_bezr.'!B3:G28,MATCH(6,B4:B29,0),6)</f>
        <v>43</v>
      </c>
    </row>
    <row r="10" spans="2:8" x14ac:dyDescent="0.2">
      <c r="B10" s="6">
        <f>RANK('1_bezr.'!C9,'1_bezr.'!$C$3:'1_bezr.'!$C$28,1)+COUNTIF('1_bezr.'!$C$3:'1_bezr.'!C9,'1_bezr.'!C9)-1</f>
        <v>9</v>
      </c>
      <c r="C10" s="9" t="str">
        <f>INDEX('1_bezr.'!B3:G28,MATCH(7,B4:B29,0),1)</f>
        <v>lubaczowski</v>
      </c>
      <c r="D10" s="6">
        <f>INDEX('1_bezr.'!B3:G28,MATCH(7,B4:B29,0),2)</f>
        <v>1882</v>
      </c>
      <c r="E10" s="61">
        <f>INDEX('1_bezr.'!B3:G28,MATCH(7,B4:B29,0),3)</f>
        <v>1954</v>
      </c>
      <c r="F10" s="6">
        <f>INDEX('1_bezr.'!B3:G28,MATCH(7,B4:B29,0),4)</f>
        <v>-72</v>
      </c>
      <c r="G10" s="61">
        <f>INDEX('1_bezr.'!B3:G28,MATCH(7,B4:B29,0),5)</f>
        <v>1990</v>
      </c>
      <c r="H10" s="6">
        <f>INDEX('1_bezr.'!B3:G28,MATCH(7,B4:B29,0),6)</f>
        <v>-108</v>
      </c>
    </row>
    <row r="11" spans="2:8" x14ac:dyDescent="0.2">
      <c r="B11" s="6">
        <f>RANK('1_bezr.'!C10,'1_bezr.'!$C$3:'1_bezr.'!$C$28,1)+COUNTIF('1_bezr.'!$C$3:'1_bezr.'!C10,'1_bezr.'!C10)-1</f>
        <v>6</v>
      </c>
      <c r="C11" s="5" t="str">
        <f>INDEX('1_bezr.'!B3:G28,MATCH(8,B4:B29,0),1)</f>
        <v>stalowowolski</v>
      </c>
      <c r="D11" s="6">
        <f>INDEX('1_bezr.'!B3:G28,MATCH(8,B4:B29,0),2)</f>
        <v>2007</v>
      </c>
      <c r="E11" s="61">
        <f>INDEX('1_bezr.'!B3:G28,MATCH(8,B4:B29,0),3)</f>
        <v>2013</v>
      </c>
      <c r="F11" s="6">
        <f>INDEX('1_bezr.'!B3:G28,MATCH(8,B4:B29,0),4)</f>
        <v>-6</v>
      </c>
      <c r="G11" s="61">
        <f>INDEX('1_bezr.'!B3:G28,MATCH(8,B4:B29,0),5)</f>
        <v>2268</v>
      </c>
      <c r="H11" s="6">
        <f>INDEX('1_bezr.'!B3:G28,MATCH(8,B4:B29,0),6)</f>
        <v>-261</v>
      </c>
    </row>
    <row r="12" spans="2:8" x14ac:dyDescent="0.2">
      <c r="B12" s="6">
        <f>RANK('1_bezr.'!C11,'1_bezr.'!$C$3:'1_bezr.'!$C$28,1)+COUNTIF('1_bezr.'!$C$3:'1_bezr.'!C11,'1_bezr.'!C11)-1</f>
        <v>18</v>
      </c>
      <c r="C12" s="5" t="str">
        <f>INDEX('1_bezr.'!B3:G28,MATCH(9,B4:B29,0),1)</f>
        <v>krośnieński</v>
      </c>
      <c r="D12" s="6">
        <f>INDEX('1_bezr.'!B3:G28,MATCH(9,B4:B29,0),2)</f>
        <v>2239</v>
      </c>
      <c r="E12" s="61">
        <f>INDEX('1_bezr.'!B3:G28,MATCH(9,B4:B29,0),3)</f>
        <v>2228</v>
      </c>
      <c r="F12" s="6">
        <f>INDEX('1_bezr.'!B3:G28,MATCH(9,B4:B29,0),4)</f>
        <v>11</v>
      </c>
      <c r="G12" s="61">
        <f>INDEX('1_bezr.'!B3:G28,MATCH(9,B4:B29,0),5)</f>
        <v>2077</v>
      </c>
      <c r="H12" s="6">
        <f>INDEX('1_bezr.'!B3:G28,MATCH(9,B4:B29,0),6)</f>
        <v>162</v>
      </c>
    </row>
    <row r="13" spans="2:8" x14ac:dyDescent="0.2">
      <c r="B13" s="6">
        <f>RANK('1_bezr.'!C12,'1_bezr.'!$C$3:'1_bezr.'!$C$28,1)+COUNTIF('1_bezr.'!$C$3:'1_bezr.'!C12,'1_bezr.'!C12)-1</f>
        <v>7</v>
      </c>
      <c r="C13" s="5" t="str">
        <f>INDEX('1_bezr.'!B3:G28,MATCH(10,B4:B29,0),1)</f>
        <v>Przemyśl</v>
      </c>
      <c r="D13" s="6">
        <f>INDEX('1_bezr.'!B3:G28,MATCH(10,B4:B29,0),2)</f>
        <v>2516</v>
      </c>
      <c r="E13" s="61">
        <f>INDEX('1_bezr.'!B3:G28,MATCH(10,B4:B29,0),3)</f>
        <v>2556</v>
      </c>
      <c r="F13" s="6">
        <f>INDEX('1_bezr.'!B3:G28,MATCH(10,B4:B29,0),4)</f>
        <v>-40</v>
      </c>
      <c r="G13" s="61">
        <f>INDEX('1_bezr.'!B3:G28,MATCH(10,B4:B29,0),5)</f>
        <v>2873</v>
      </c>
      <c r="H13" s="6">
        <f>INDEX('1_bezr.'!B3:G28,MATCH(10,B4:B29,0),6)</f>
        <v>-357</v>
      </c>
    </row>
    <row r="14" spans="2:8" x14ac:dyDescent="0.2">
      <c r="B14" s="6">
        <f>RANK('1_bezr.'!C13,'1_bezr.'!$C$3:'1_bezr.'!$C$28,1)+COUNTIF('1_bezr.'!$C$3:'1_bezr.'!C13,'1_bezr.'!C13)-1</f>
        <v>12</v>
      </c>
      <c r="C14" s="5" t="str">
        <f>INDEX('1_bezr.'!B3:G28,MATCH(11,B4:B29,0),1)</f>
        <v>dębicki</v>
      </c>
      <c r="D14" s="6">
        <f>INDEX('1_bezr.'!B3:G28,MATCH(11,B4:B29,0),2)</f>
        <v>2536</v>
      </c>
      <c r="E14" s="61">
        <f>INDEX('1_bezr.'!B3:G28,MATCH(11,B4:B29,0),3)</f>
        <v>2632</v>
      </c>
      <c r="F14" s="6">
        <f>INDEX('1_bezr.'!B3:G28,MATCH(11,B4:B29,0),4)</f>
        <v>-96</v>
      </c>
      <c r="G14" s="61">
        <f>INDEX('1_bezr.'!B3:G28,MATCH(11,B4:B29,0),5)</f>
        <v>2666</v>
      </c>
      <c r="H14" s="6">
        <f>INDEX('1_bezr.'!B3:G28,MATCH(11,B4:B29,0),6)</f>
        <v>-130</v>
      </c>
    </row>
    <row r="15" spans="2:8" x14ac:dyDescent="0.2">
      <c r="B15" s="6">
        <f>RANK('1_bezr.'!C14,'1_bezr.'!$C$3:'1_bezr.'!$C$28,1)+COUNTIF('1_bezr.'!$C$3:'1_bezr.'!C14,'1_bezr.'!C14)-1</f>
        <v>13</v>
      </c>
      <c r="C15" s="5" t="str">
        <f>INDEX('1_bezr.'!B3:G28,MATCH(12,B4:B29,0),1)</f>
        <v>łańcucki</v>
      </c>
      <c r="D15" s="6">
        <f>INDEX('1_bezr.'!B3:G28,MATCH(12,B4:B29,0),2)</f>
        <v>2671</v>
      </c>
      <c r="E15" s="61">
        <f>INDEX('1_bezr.'!B3:G28,MATCH(12,B4:B29,0),3)</f>
        <v>2797</v>
      </c>
      <c r="F15" s="6">
        <f>INDEX('1_bezr.'!B3:G28,MATCH(12,B4:B29,0),4)</f>
        <v>-126</v>
      </c>
      <c r="G15" s="61">
        <f>INDEX('1_bezr.'!B3:G28,MATCH(12,B4:B29,0),5)</f>
        <v>3304</v>
      </c>
      <c r="H15" s="6">
        <f>INDEX('1_bezr.'!B3:G28,MATCH(12,B4:B29,0),6)</f>
        <v>-633</v>
      </c>
    </row>
    <row r="16" spans="2:8" x14ac:dyDescent="0.2">
      <c r="B16" s="6">
        <f>RANK('1_bezr.'!C15,'1_bezr.'!$C$3:'1_bezr.'!$C$28,1)+COUNTIF('1_bezr.'!$C$3:'1_bezr.'!C15,'1_bezr.'!C15)-1</f>
        <v>17</v>
      </c>
      <c r="C16" s="5" t="str">
        <f>INDEX('1_bezr.'!B3:G28,MATCH(13,B4:B29,0),1)</f>
        <v>mielecki</v>
      </c>
      <c r="D16" s="6">
        <f>INDEX('1_bezr.'!B3:G28,MATCH(13,B4:B29,0),2)</f>
        <v>2700</v>
      </c>
      <c r="E16" s="61">
        <f>INDEX('1_bezr.'!B3:G28,MATCH(13,B4:B29,0),3)</f>
        <v>2769</v>
      </c>
      <c r="F16" s="6">
        <f>INDEX('1_bezr.'!B3:G28,MATCH(13,B4:B29,0),4)</f>
        <v>-69</v>
      </c>
      <c r="G16" s="61">
        <f>INDEX('1_bezr.'!B3:G28,MATCH(13,B4:B29,0),5)</f>
        <v>2831</v>
      </c>
      <c r="H16" s="6">
        <f>INDEX('1_bezr.'!B3:G28,MATCH(13,B4:B29,0),6)</f>
        <v>-131</v>
      </c>
    </row>
    <row r="17" spans="2:8" x14ac:dyDescent="0.2">
      <c r="B17" s="6">
        <f>RANK('1_bezr.'!C16,'1_bezr.'!$C$3:'1_bezr.'!$C$28,1)+COUNTIF('1_bezr.'!$C$3:'1_bezr.'!C16,'1_bezr.'!C16)-1</f>
        <v>16</v>
      </c>
      <c r="C17" s="5" t="str">
        <f>INDEX('1_bezr.'!B3:G28,MATCH(14,B4:B29,0),1)</f>
        <v>ropczycko-sędziszowski</v>
      </c>
      <c r="D17" s="6">
        <f>INDEX('1_bezr.'!B3:G28,MATCH(14,B4:B29,0),2)</f>
        <v>2763</v>
      </c>
      <c r="E17" s="61">
        <f>INDEX('1_bezr.'!B3:G28,MATCH(14,B4:B29,0),3)</f>
        <v>2836</v>
      </c>
      <c r="F17" s="6">
        <f>INDEX('1_bezr.'!B3:G28,MATCH(14,B4:B29,0),4)</f>
        <v>-73</v>
      </c>
      <c r="G17" s="61">
        <f>INDEX('1_bezr.'!B3:G28,MATCH(14,B4:B29,0),5)</f>
        <v>3197</v>
      </c>
      <c r="H17" s="6">
        <f>INDEX('1_bezr.'!B3:G28,MATCH(14,B4:B29,0),6)</f>
        <v>-434</v>
      </c>
    </row>
    <row r="18" spans="2:8" x14ac:dyDescent="0.2">
      <c r="B18" s="6">
        <f>RANK('1_bezr.'!C17,'1_bezr.'!$C$3:'1_bezr.'!$C$28,1)+COUNTIF('1_bezr.'!$C$3:'1_bezr.'!C17,'1_bezr.'!C17)-1</f>
        <v>20</v>
      </c>
      <c r="C18" s="5" t="str">
        <f>INDEX('1_bezr.'!B3:G28,MATCH(15,B4:B29,0),1)</f>
        <v>sanocki</v>
      </c>
      <c r="D18" s="6">
        <f>INDEX('1_bezr.'!B3:G28,MATCH(15,B4:B29,0),2)</f>
        <v>2802</v>
      </c>
      <c r="E18" s="61">
        <f>INDEX('1_bezr.'!B3:G28,MATCH(15,B4:B29,0),3)</f>
        <v>2840</v>
      </c>
      <c r="F18" s="6">
        <f>INDEX('1_bezr.'!B3:G28,MATCH(15,B4:B29,0),4)</f>
        <v>-38</v>
      </c>
      <c r="G18" s="61">
        <f>INDEX('1_bezr.'!B3:G28,MATCH(15,B4:B29,0),5)</f>
        <v>2601</v>
      </c>
      <c r="H18" s="6">
        <f>INDEX('1_bezr.'!B3:G28,MATCH(15,B4:B29,0),6)</f>
        <v>201</v>
      </c>
    </row>
    <row r="19" spans="2:8" x14ac:dyDescent="0.2">
      <c r="B19" s="6">
        <f>RANK('1_bezr.'!C18,'1_bezr.'!$C$3:'1_bezr.'!$C$28,1)+COUNTIF('1_bezr.'!$C$3:'1_bezr.'!C18,'1_bezr.'!C18)-1</f>
        <v>14</v>
      </c>
      <c r="C19" s="5" t="str">
        <f>INDEX('1_bezr.'!B3:G28,MATCH(16,B4:B29,0),1)</f>
        <v>przemyski</v>
      </c>
      <c r="D19" s="6">
        <f>INDEX('1_bezr.'!B3:G28,MATCH(16,B4:B29,0),2)</f>
        <v>3053</v>
      </c>
      <c r="E19" s="61">
        <f>INDEX('1_bezr.'!B3:G28,MATCH(16,B4:B29,0),3)</f>
        <v>3149</v>
      </c>
      <c r="F19" s="6">
        <f>INDEX('1_bezr.'!B3:G28,MATCH(16,B4:B29,0),4)</f>
        <v>-96</v>
      </c>
      <c r="G19" s="61">
        <f>INDEX('1_bezr.'!B3:G28,MATCH(16,B4:B29,0),5)</f>
        <v>3564</v>
      </c>
      <c r="H19" s="6">
        <f>INDEX('1_bezr.'!B3:G28,MATCH(16,B4:B29,0),6)</f>
        <v>-511</v>
      </c>
    </row>
    <row r="20" spans="2:8" x14ac:dyDescent="0.2">
      <c r="B20" s="6">
        <f>RANK('1_bezr.'!C19,'1_bezr.'!$C$3:'1_bezr.'!$C$28,1)+COUNTIF('1_bezr.'!$C$3:'1_bezr.'!C19,'1_bezr.'!C19)-1</f>
        <v>23</v>
      </c>
      <c r="C20" s="5" t="str">
        <f>INDEX('1_bezr.'!B3:G28,MATCH(17,B4:B29,0),1)</f>
        <v>niżański</v>
      </c>
      <c r="D20" s="6">
        <f>INDEX('1_bezr.'!B3:G28,MATCH(17,B4:B29,0),2)</f>
        <v>3156</v>
      </c>
      <c r="E20" s="61">
        <f>INDEX('1_bezr.'!B3:G28,MATCH(17,B4:B29,0),3)</f>
        <v>3248</v>
      </c>
      <c r="F20" s="6">
        <f>INDEX('1_bezr.'!B3:G28,MATCH(17,B4:B29,0),4)</f>
        <v>-92</v>
      </c>
      <c r="G20" s="61">
        <f>INDEX('1_bezr.'!B3:G28,MATCH(17,B4:B29,0),5)</f>
        <v>3404</v>
      </c>
      <c r="H20" s="6">
        <f>INDEX('1_bezr.'!B3:G28,MATCH(17,B4:B29,0),6)</f>
        <v>-248</v>
      </c>
    </row>
    <row r="21" spans="2:8" x14ac:dyDescent="0.2">
      <c r="B21" s="6">
        <f>RANK('1_bezr.'!C20,'1_bezr.'!$C$3:'1_bezr.'!$C$28,1)+COUNTIF('1_bezr.'!$C$3:'1_bezr.'!C20,'1_bezr.'!C20)-1</f>
        <v>15</v>
      </c>
      <c r="C21" s="5" t="str">
        <f>INDEX('1_bezr.'!B3:G28,MATCH(18,B4:B29,0),1)</f>
        <v>leżajski</v>
      </c>
      <c r="D21" s="6">
        <f>INDEX('1_bezr.'!B3:G28,MATCH(18,B4:B29,0),2)</f>
        <v>3199</v>
      </c>
      <c r="E21" s="61">
        <f>INDEX('1_bezr.'!B3:G28,MATCH(18,B4:B29,0),3)</f>
        <v>3283</v>
      </c>
      <c r="F21" s="6">
        <f>INDEX('1_bezr.'!B3:G28,MATCH(18,B4:B29,0),4)</f>
        <v>-84</v>
      </c>
      <c r="G21" s="61">
        <f>INDEX('1_bezr.'!B3:G28,MATCH(18,B4:B29,0),5)</f>
        <v>3578</v>
      </c>
      <c r="H21" s="6">
        <f>INDEX('1_bezr.'!B3:G28,MATCH(18,B4:B29,0),6)</f>
        <v>-379</v>
      </c>
    </row>
    <row r="22" spans="2:8" x14ac:dyDescent="0.2">
      <c r="B22" s="6">
        <f>RANK('1_bezr.'!C21,'1_bezr.'!$C$3:'1_bezr.'!$C$28,1)+COUNTIF('1_bezr.'!$C$3:'1_bezr.'!C21,'1_bezr.'!C21)-1</f>
        <v>8</v>
      </c>
      <c r="C22" s="5" t="str">
        <f>INDEX('1_bezr.'!B3:G28,MATCH(19,B4:B29,0),1)</f>
        <v>strzyżowski</v>
      </c>
      <c r="D22" s="6">
        <f>INDEX('1_bezr.'!B3:G28,MATCH(19,B4:B29,0),2)</f>
        <v>3311</v>
      </c>
      <c r="E22" s="61">
        <f>INDEX('1_bezr.'!B3:G28,MATCH(19,B4:B29,0),3)</f>
        <v>3417</v>
      </c>
      <c r="F22" s="6">
        <f>INDEX('1_bezr.'!B3:G28,MATCH(19,B4:B29,0),4)</f>
        <v>-106</v>
      </c>
      <c r="G22" s="61">
        <f>INDEX('1_bezr.'!B3:G28,MATCH(19,B4:B29,0),5)</f>
        <v>3518</v>
      </c>
      <c r="H22" s="6">
        <f>INDEX('1_bezr.'!B3:G28,MATCH(19,B4:B29,0),6)</f>
        <v>-207</v>
      </c>
    </row>
    <row r="23" spans="2:8" x14ac:dyDescent="0.2">
      <c r="B23" s="6">
        <f>RANK('1_bezr.'!C22,'1_bezr.'!$C$3:'1_bezr.'!$C$28,1)+COUNTIF('1_bezr.'!$C$3:'1_bezr.'!C22,'1_bezr.'!C22)-1</f>
        <v>19</v>
      </c>
      <c r="C23" s="5" t="str">
        <f>INDEX('1_bezr.'!B3:G28,MATCH(20,B4:B29,0),1)</f>
        <v>przeworski</v>
      </c>
      <c r="D23" s="6">
        <f>INDEX('1_bezr.'!B3:G28,MATCH(20,B4:B29,0),2)</f>
        <v>3593</v>
      </c>
      <c r="E23" s="61">
        <f>INDEX('1_bezr.'!B3:G28,MATCH(20,B4:B29,0),3)</f>
        <v>3596</v>
      </c>
      <c r="F23" s="6">
        <f>INDEX('1_bezr.'!B3:G28,MATCH(20,B4:B29,0),4)</f>
        <v>-3</v>
      </c>
      <c r="G23" s="61">
        <f>INDEX('1_bezr.'!B3:G28,MATCH(20,B4:B29,0),5)</f>
        <v>3799</v>
      </c>
      <c r="H23" s="6">
        <f>INDEX('1_bezr.'!B3:G28,MATCH(20,B4:B29,0),6)</f>
        <v>-206</v>
      </c>
    </row>
    <row r="24" spans="2:8" x14ac:dyDescent="0.2">
      <c r="B24" s="6">
        <f>RANK('1_bezr.'!C23,'1_bezr.'!$C$3:'1_bezr.'!$C$28,1)+COUNTIF('1_bezr.'!$C$3:'1_bezr.'!C23,'1_bezr.'!C23)-1</f>
        <v>4</v>
      </c>
      <c r="C24" s="5" t="str">
        <f>INDEX('1_bezr.'!B3:G28,MATCH(21,B4:B29,0),1)</f>
        <v>brzozowski</v>
      </c>
      <c r="D24" s="6">
        <f>INDEX('1_bezr.'!B3:G28,MATCH(21,B4:B29,0),2)</f>
        <v>3977</v>
      </c>
      <c r="E24" s="61">
        <f>INDEX('1_bezr.'!B3:G28,MATCH(21,B4:B29,0),3)</f>
        <v>4127</v>
      </c>
      <c r="F24" s="6">
        <f>INDEX('1_bezr.'!B3:G28,MATCH(21,B4:B29,0),4)</f>
        <v>-150</v>
      </c>
      <c r="G24" s="61">
        <f>INDEX('1_bezr.'!B3:G28,MATCH(21,B4:B29,0),5)</f>
        <v>4175</v>
      </c>
      <c r="H24" s="6">
        <f>INDEX('1_bezr.'!B3:G28,MATCH(21,B4:B29,0),6)</f>
        <v>-198</v>
      </c>
    </row>
    <row r="25" spans="2:8" x14ac:dyDescent="0.2">
      <c r="B25" s="6">
        <f>RANK('1_bezr.'!C24,'1_bezr.'!$C$3:'1_bezr.'!$C$28,1)+COUNTIF('1_bezr.'!$C$3:'1_bezr.'!C24,'1_bezr.'!C24)-1</f>
        <v>1</v>
      </c>
      <c r="C25" s="5" t="str">
        <f>INDEX('1_bezr.'!B3:G28,MATCH(22,B4:B29,0),1)</f>
        <v>jarosławski</v>
      </c>
      <c r="D25" s="6">
        <f>INDEX('1_bezr.'!B3:G28,MATCH(22,B4:B29,0),2)</f>
        <v>4626</v>
      </c>
      <c r="E25" s="61">
        <f>INDEX('1_bezr.'!B3:G28,MATCH(22,B4:B29,0),3)</f>
        <v>4843</v>
      </c>
      <c r="F25" s="6">
        <f>INDEX('1_bezr.'!B3:G28,MATCH(22,B4:B29,0),4)</f>
        <v>-217</v>
      </c>
      <c r="G25" s="61">
        <f>INDEX('1_bezr.'!B3:G28,MATCH(22,B4:B29,0),5)</f>
        <v>5247</v>
      </c>
      <c r="H25" s="6">
        <f>INDEX('1_bezr.'!B3:G28,MATCH(22,B4:B29,0),6)</f>
        <v>-621</v>
      </c>
    </row>
    <row r="26" spans="2:8" x14ac:dyDescent="0.2">
      <c r="B26" s="6">
        <f>RANK('1_bezr.'!C25,'1_bezr.'!$C$3:'1_bezr.'!$C$28,1)+COUNTIF('1_bezr.'!$C$3:'1_bezr.'!C25,'1_bezr.'!C25)-1</f>
        <v>10</v>
      </c>
      <c r="C26" s="5" t="str">
        <f>INDEX('1_bezr.'!B3:G28,MATCH(23,B4:B29,0),1)</f>
        <v>rzeszowski</v>
      </c>
      <c r="D26" s="6">
        <f>INDEX('1_bezr.'!B3:G28,MATCH(23,B4:B29,0),2)</f>
        <v>4917</v>
      </c>
      <c r="E26" s="61">
        <f>INDEX('1_bezr.'!B3:G28,MATCH(23,B4:B29,0),3)</f>
        <v>5092</v>
      </c>
      <c r="F26" s="6">
        <f>INDEX('1_bezr.'!B3:G28,MATCH(23,B4:B29,0),4)</f>
        <v>-175</v>
      </c>
      <c r="G26" s="61">
        <f>INDEX('1_bezr.'!B3:G28,MATCH(23,B4:B29,0),5)</f>
        <v>5483</v>
      </c>
      <c r="H26" s="6">
        <f>INDEX('1_bezr.'!B3:G28,MATCH(23,B4:B29,0),6)</f>
        <v>-566</v>
      </c>
    </row>
    <row r="27" spans="2:8" x14ac:dyDescent="0.2">
      <c r="B27" s="6">
        <f>RANK('1_bezr.'!C26,'1_bezr.'!$C$3:'1_bezr.'!$C$28,1)+COUNTIF('1_bezr.'!$C$3:'1_bezr.'!C26,'1_bezr.'!C26)-1</f>
        <v>25</v>
      </c>
      <c r="C27" s="5" t="str">
        <f>INDEX('1_bezr.'!B3:G28,MATCH(24,B4:B29,0),1)</f>
        <v>jasielski</v>
      </c>
      <c r="D27" s="6">
        <f>INDEX('1_bezr.'!B3:G28,MATCH(24,B4:B29,0),2)</f>
        <v>5052</v>
      </c>
      <c r="E27" s="61">
        <f>INDEX('1_bezr.'!B3:G28,MATCH(24,B4:B29,0),3)</f>
        <v>5156</v>
      </c>
      <c r="F27" s="6">
        <f>INDEX('1_bezr.'!B3:G28,MATCH(24,B4:B29,0),4)</f>
        <v>-104</v>
      </c>
      <c r="G27" s="61">
        <f>INDEX('1_bezr.'!B3:G28,MATCH(24,B4:B29,0),5)</f>
        <v>5349</v>
      </c>
      <c r="H27" s="6">
        <f>INDEX('1_bezr.'!B3:G28,MATCH(24,B4:B29,0),6)</f>
        <v>-297</v>
      </c>
    </row>
    <row r="28" spans="2:8" x14ac:dyDescent="0.2">
      <c r="B28" s="6">
        <f>RANK('1_bezr.'!C27,'1_bezr.'!$C$3:'1_bezr.'!$C$28,1)+COUNTIF('1_bezr.'!$C$3:'1_bezr.'!C27,'1_bezr.'!C27)-1</f>
        <v>2</v>
      </c>
      <c r="C28" s="5" t="str">
        <f>INDEX('1_bezr.'!B3:G28,MATCH(25,B4:B29,0),1)</f>
        <v>Rzeszów</v>
      </c>
      <c r="D28" s="6">
        <f>INDEX('1_bezr.'!B3:G28,MATCH(25,B4:B29,0),2)</f>
        <v>5487</v>
      </c>
      <c r="E28" s="61">
        <f>INDEX('1_bezr.'!B3:G28,MATCH(25,B4:B29,0),3)</f>
        <v>5508</v>
      </c>
      <c r="F28" s="6">
        <f>INDEX('1_bezr.'!B3:G28,MATCH(25,B4:B29,0),4)</f>
        <v>-21</v>
      </c>
      <c r="G28" s="61">
        <f>INDEX('1_bezr.'!B3:G28,MATCH(25,B4:B29,0),5)</f>
        <v>6191</v>
      </c>
      <c r="H28" s="6">
        <f>INDEX('1_bezr.'!B3:G28,MATCH(25,B4:B29,0),6)</f>
        <v>-704</v>
      </c>
    </row>
    <row r="29" spans="2:8" ht="15" x14ac:dyDescent="0.25">
      <c r="B29" s="59">
        <f>RANK('1_bezr.'!C28,'1_bezr.'!$C$3:'1_bezr.'!$C$28,1)+COUNTIF('1_bezr.'!$C$3:'1_bezr.'!C28,'1_bezr.'!C28)-1</f>
        <v>26</v>
      </c>
      <c r="C29" s="58" t="str">
        <f>INDEX('1_bezr.'!B3:G28,MATCH(26,B4:B29,0),1)</f>
        <v>województwo</v>
      </c>
      <c r="D29" s="59">
        <f>INDEX('1_bezr.'!B3:G28,MATCH(26,B4:B29,0),2)</f>
        <v>70333</v>
      </c>
      <c r="E29" s="63">
        <f>INDEX('1_bezr.'!B3:G28,MATCH(26,B4:B29,0),3)</f>
        <v>72068</v>
      </c>
      <c r="F29" s="59">
        <f>INDEX('1_bezr.'!B3:G28,MATCH(26,B4:B29,0),4)</f>
        <v>-1735</v>
      </c>
      <c r="G29" s="63">
        <f>INDEX('1_bezr.'!B3:G28,MATCH(26,B4:B29,0),5)</f>
        <v>76716</v>
      </c>
      <c r="H29" s="59">
        <f>INDEX('1_bezr.'!B3:G28,MATCH(26,B4:B29,0),6)</f>
        <v>-6383</v>
      </c>
    </row>
    <row r="30" spans="2:8" x14ac:dyDescent="0.2">
      <c r="F30" s="19"/>
      <c r="H30" s="19"/>
    </row>
  </sheetData>
  <pageMargins left="0" right="0" top="0.31496062992125984" bottom="0.31496062992125984" header="0" footer="0"/>
  <pageSetup paperSize="9" scale="7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60497A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50"/>
      <c r="D1" s="50"/>
      <c r="E1" s="50"/>
      <c r="F1" s="50"/>
      <c r="G1" s="50"/>
      <c r="H1" s="50"/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T('10_oferty s.'!B3)</f>
        <v>powiaty</v>
      </c>
      <c r="D3" s="55" t="str">
        <f>T('10_oferty s.'!C3)</f>
        <v>liczba ofert w III '23 r.</v>
      </c>
      <c r="E3" s="55" t="str">
        <f>T('10_oferty s.'!D3)</f>
        <v>liczba ofert w II '23 r.</v>
      </c>
      <c r="F3" s="55" t="str">
        <f>T('10_oferty s.'!E3)</f>
        <v>wzrost/spadek do poprzedniego  miesiąca</v>
      </c>
      <c r="G3" s="55" t="str">
        <f>T('10_oferty s.'!F3)</f>
        <v>liczba ofert w III '22 r.</v>
      </c>
      <c r="H3" s="55" t="str">
        <f>T('10_oferty s.'!G3)</f>
        <v>wzrost/spadek do analogicznego okresu ubr.</v>
      </c>
    </row>
    <row r="4" spans="2:8" x14ac:dyDescent="0.2">
      <c r="B4" s="6">
        <f>RANK('10_oferty s.'!C4,'10_oferty s.'!$C$4:'10_oferty s.'!$C$29,1)+COUNTIF('10_oferty s.'!$C$4:'10_oferty s.'!C4,'10_oferty s.'!C4)-1</f>
        <v>1</v>
      </c>
      <c r="C4" s="5" t="str">
        <f>INDEX('10_oferty s.'!B4:G29,MATCH(1,B4:B29,0),1)</f>
        <v>bieszczadzki</v>
      </c>
      <c r="D4" s="25">
        <f>INDEX('10_oferty s.'!B4:G29,MATCH(1,B4:B29,0),2)</f>
        <v>21</v>
      </c>
      <c r="E4" s="61">
        <f>INDEX('10_oferty s.'!B4:G29,MATCH(1,B4:B29,0),3)</f>
        <v>66</v>
      </c>
      <c r="F4" s="6">
        <f>INDEX('10_oferty s.'!B4:G29,MATCH(1,B4:B29,0),4)</f>
        <v>-45</v>
      </c>
      <c r="G4" s="61">
        <f>INDEX('10_oferty s.'!B4:G29,MATCH(1,B4:B29,0),5)</f>
        <v>43</v>
      </c>
      <c r="H4" s="6">
        <f>INDEX('10_oferty s.'!B4:G29,MATCH(1,B4:B29,0),6)</f>
        <v>-22</v>
      </c>
    </row>
    <row r="5" spans="2:8" x14ac:dyDescent="0.2">
      <c r="B5" s="6">
        <f>RANK('10_oferty s.'!C5,'10_oferty s.'!$C$4:'10_oferty s.'!$C$29,1)+COUNTIF('10_oferty s.'!$C$4:'10_oferty s.'!C5,'10_oferty s.'!C5)-1</f>
        <v>21</v>
      </c>
      <c r="C5" s="5" t="str">
        <f>INDEX('10_oferty s.'!B4:G29,MATCH(2,B4:B29,0),1)</f>
        <v>Krosno</v>
      </c>
      <c r="D5" s="6">
        <f>INDEX('10_oferty s.'!B4:G29,MATCH(2,B4:B29,0),2)</f>
        <v>22</v>
      </c>
      <c r="E5" s="61">
        <f>INDEX('10_oferty s.'!B4:G29,MATCH(2,B4:B29,0),3)</f>
        <v>74</v>
      </c>
      <c r="F5" s="6">
        <f>INDEX('10_oferty s.'!B4:G29,MATCH(2,B4:B29,0),4)</f>
        <v>-52</v>
      </c>
      <c r="G5" s="61">
        <f>INDEX('10_oferty s.'!B4:G29,MATCH(2,B4:B29,0),5)</f>
        <v>53</v>
      </c>
      <c r="H5" s="6">
        <f>INDEX('10_oferty s.'!B4:G29,MATCH(2,B4:B29,0),6)</f>
        <v>-31</v>
      </c>
    </row>
    <row r="6" spans="2:8" x14ac:dyDescent="0.2">
      <c r="B6" s="6">
        <f>RANK('10_oferty s.'!C6,'10_oferty s.'!$C$4:'10_oferty s.'!$C$29,1)+COUNTIF('10_oferty s.'!$C$4:'10_oferty s.'!C6,'10_oferty s.'!C6)-1</f>
        <v>10</v>
      </c>
      <c r="C6" s="5" t="str">
        <f>INDEX('10_oferty s.'!B4:G29,MATCH(3,B4:B29,0),1)</f>
        <v>krośnieński</v>
      </c>
      <c r="D6" s="6">
        <f>INDEX('10_oferty s.'!B4:G29,MATCH(3,B4:B29,0),2)</f>
        <v>32</v>
      </c>
      <c r="E6" s="61">
        <f>INDEX('10_oferty s.'!B4:G29,MATCH(3,B4:B29,0),3)</f>
        <v>33</v>
      </c>
      <c r="F6" s="6">
        <f>INDEX('10_oferty s.'!B4:G29,MATCH(3,B4:B29,0),4)</f>
        <v>-1</v>
      </c>
      <c r="G6" s="61">
        <f>INDEX('10_oferty s.'!B4:G29,MATCH(3,B4:B29,0),5)</f>
        <v>52</v>
      </c>
      <c r="H6" s="6">
        <f>INDEX('10_oferty s.'!B4:G29,MATCH(3,B4:B29,0),6)</f>
        <v>-20</v>
      </c>
    </row>
    <row r="7" spans="2:8" x14ac:dyDescent="0.2">
      <c r="B7" s="6">
        <f>RANK('10_oferty s.'!C7,'10_oferty s.'!$C$4:'10_oferty s.'!$C$29,1)+COUNTIF('10_oferty s.'!$C$4:'10_oferty s.'!C7,'10_oferty s.'!C7)-1</f>
        <v>17</v>
      </c>
      <c r="C7" s="5" t="str">
        <f>INDEX('10_oferty s.'!B4:G29,MATCH(4,B4:B29,0),1)</f>
        <v>stalowowolski</v>
      </c>
      <c r="D7" s="6">
        <f>INDEX('10_oferty s.'!B4:G29,MATCH(4,B4:B29,0),2)</f>
        <v>33</v>
      </c>
      <c r="E7" s="61">
        <f>INDEX('10_oferty s.'!B4:G29,MATCH(4,B4:B29,0),3)</f>
        <v>75</v>
      </c>
      <c r="F7" s="6">
        <f>INDEX('10_oferty s.'!B4:G29,MATCH(4,B4:B29,0),4)</f>
        <v>-42</v>
      </c>
      <c r="G7" s="61">
        <f>INDEX('10_oferty s.'!B4:G29,MATCH(4,B4:B29,0),5)</f>
        <v>96</v>
      </c>
      <c r="H7" s="6">
        <f>INDEX('10_oferty s.'!B4:G29,MATCH(4,B4:B29,0),6)</f>
        <v>-63</v>
      </c>
    </row>
    <row r="8" spans="2:8" x14ac:dyDescent="0.2">
      <c r="B8" s="6">
        <f>RANK('10_oferty s.'!C8,'10_oferty s.'!$C$4:'10_oferty s.'!$C$29,1)+COUNTIF('10_oferty s.'!$C$4:'10_oferty s.'!C8,'10_oferty s.'!C8)-1</f>
        <v>22</v>
      </c>
      <c r="C8" s="5" t="str">
        <f>INDEX('10_oferty s.'!B4:G29,MATCH(5,B4:B29,0),1)</f>
        <v>leski</v>
      </c>
      <c r="D8" s="6">
        <f>INDEX('10_oferty s.'!B4:G29,MATCH(5,B4:B29,0),2)</f>
        <v>38</v>
      </c>
      <c r="E8" s="61">
        <f>INDEX('10_oferty s.'!B4:G29,MATCH(5,B4:B29,0),3)</f>
        <v>26</v>
      </c>
      <c r="F8" s="6">
        <f>INDEX('10_oferty s.'!B4:G29,MATCH(5,B4:B29,0),4)</f>
        <v>12</v>
      </c>
      <c r="G8" s="61">
        <f>INDEX('10_oferty s.'!B4:G29,MATCH(5,B4:B29,0),5)</f>
        <v>39</v>
      </c>
      <c r="H8" s="6">
        <f>INDEX('10_oferty s.'!B4:G29,MATCH(5,B4:B29,0),6)</f>
        <v>-1</v>
      </c>
    </row>
    <row r="9" spans="2:8" x14ac:dyDescent="0.2">
      <c r="B9" s="6">
        <f>RANK('10_oferty s.'!C9,'10_oferty s.'!$C$4:'10_oferty s.'!$C$29,1)+COUNTIF('10_oferty s.'!$C$4:'10_oferty s.'!C9,'10_oferty s.'!C9)-1</f>
        <v>7</v>
      </c>
      <c r="C9" s="5" t="str">
        <f>INDEX('10_oferty s.'!B4:G29,MATCH(6,B4:B29,0),1)</f>
        <v>Tarnobrzeg</v>
      </c>
      <c r="D9" s="6">
        <f>INDEX('10_oferty s.'!B4:G29,MATCH(6,B4:B29,0),2)</f>
        <v>44</v>
      </c>
      <c r="E9" s="61">
        <f>INDEX('10_oferty s.'!B4:G29,MATCH(6,B4:B29,0),3)</f>
        <v>61</v>
      </c>
      <c r="F9" s="6">
        <f>INDEX('10_oferty s.'!B4:G29,MATCH(6,B4:B29,0),4)</f>
        <v>-17</v>
      </c>
      <c r="G9" s="61">
        <f>INDEX('10_oferty s.'!B4:G29,MATCH(6,B4:B29,0),5)</f>
        <v>64</v>
      </c>
      <c r="H9" s="6">
        <f>INDEX('10_oferty s.'!B4:G29,MATCH(6,B4:B29,0),6)</f>
        <v>-20</v>
      </c>
    </row>
    <row r="10" spans="2:8" x14ac:dyDescent="0.2">
      <c r="B10" s="6">
        <f>RANK('10_oferty s.'!C10,'10_oferty s.'!$C$4:'10_oferty s.'!$C$29,1)+COUNTIF('10_oferty s.'!$C$4:'10_oferty s.'!C10,'10_oferty s.'!C10)-1</f>
        <v>3</v>
      </c>
      <c r="C10" s="9" t="str">
        <f>INDEX('10_oferty s.'!B4:G29,MATCH(7,B4:B29,0),1)</f>
        <v>kolbuszowski</v>
      </c>
      <c r="D10" s="6">
        <f>INDEX('10_oferty s.'!B4:G29,MATCH(7,B4:B29,0),2)</f>
        <v>45</v>
      </c>
      <c r="E10" s="61">
        <f>INDEX('10_oferty s.'!B4:G29,MATCH(7,B4:B29,0),3)</f>
        <v>78</v>
      </c>
      <c r="F10" s="6">
        <f>INDEX('10_oferty s.'!B4:G29,MATCH(7,B4:B29,0),4)</f>
        <v>-33</v>
      </c>
      <c r="G10" s="61">
        <f>INDEX('10_oferty s.'!B4:G29,MATCH(7,B4:B29,0),5)</f>
        <v>85</v>
      </c>
      <c r="H10" s="6">
        <f>INDEX('10_oferty s.'!B4:G29,MATCH(7,B4:B29,0),6)</f>
        <v>-40</v>
      </c>
    </row>
    <row r="11" spans="2:8" x14ac:dyDescent="0.2">
      <c r="B11" s="6">
        <f>RANK('10_oferty s.'!C11,'10_oferty s.'!$C$4:'10_oferty s.'!$C$29,1)+COUNTIF('10_oferty s.'!$C$4:'10_oferty s.'!C11,'10_oferty s.'!C11)-1</f>
        <v>5</v>
      </c>
      <c r="C11" s="5" t="str">
        <f>INDEX('10_oferty s.'!B4:G29,MATCH(8,B4:B29,0),1)</f>
        <v>przemyski</v>
      </c>
      <c r="D11" s="6">
        <f>INDEX('10_oferty s.'!B4:G29,MATCH(8,B4:B29,0),2)</f>
        <v>51</v>
      </c>
      <c r="E11" s="61">
        <f>INDEX('10_oferty s.'!B4:G29,MATCH(8,B4:B29,0),3)</f>
        <v>48</v>
      </c>
      <c r="F11" s="6">
        <f>INDEX('10_oferty s.'!B4:G29,MATCH(8,B4:B29,0),4)</f>
        <v>3</v>
      </c>
      <c r="G11" s="61">
        <f>INDEX('10_oferty s.'!B4:G29,MATCH(8,B4:B29,0),5)</f>
        <v>82</v>
      </c>
      <c r="H11" s="6">
        <f>INDEX('10_oferty s.'!B4:G29,MATCH(8,B4:B29,0),6)</f>
        <v>-31</v>
      </c>
    </row>
    <row r="12" spans="2:8" x14ac:dyDescent="0.2">
      <c r="B12" s="6">
        <f>RANK('10_oferty s.'!C12,'10_oferty s.'!$C$4:'10_oferty s.'!$C$29,1)+COUNTIF('10_oferty s.'!$C$4:'10_oferty s.'!C12,'10_oferty s.'!C12)-1</f>
        <v>23</v>
      </c>
      <c r="C12" s="5" t="str">
        <f>INDEX('10_oferty s.'!B4:G29,MATCH(9,B4:B29,0),1)</f>
        <v>lubaczowski</v>
      </c>
      <c r="D12" s="6">
        <f>INDEX('10_oferty s.'!B4:G29,MATCH(9,B4:B29,0),2)</f>
        <v>52</v>
      </c>
      <c r="E12" s="61">
        <f>INDEX('10_oferty s.'!B4:G29,MATCH(9,B4:B29,0),3)</f>
        <v>79</v>
      </c>
      <c r="F12" s="6">
        <f>INDEX('10_oferty s.'!B4:G29,MATCH(9,B4:B29,0),4)</f>
        <v>-27</v>
      </c>
      <c r="G12" s="61">
        <f>INDEX('10_oferty s.'!B4:G29,MATCH(9,B4:B29,0),5)</f>
        <v>86</v>
      </c>
      <c r="H12" s="6">
        <f>INDEX('10_oferty s.'!B4:G29,MATCH(9,B4:B29,0),6)</f>
        <v>-34</v>
      </c>
    </row>
    <row r="13" spans="2:8" x14ac:dyDescent="0.2">
      <c r="B13" s="6">
        <f>RANK('10_oferty s.'!C13,'10_oferty s.'!$C$4:'10_oferty s.'!$C$29,1)+COUNTIF('10_oferty s.'!$C$4:'10_oferty s.'!C13,'10_oferty s.'!C13)-1</f>
        <v>9</v>
      </c>
      <c r="C13" s="5" t="str">
        <f>INDEX('10_oferty s.'!B4:G29,MATCH(10,B4:B29,0),1)</f>
        <v>dębicki</v>
      </c>
      <c r="D13" s="6">
        <f>INDEX('10_oferty s.'!B4:G29,MATCH(10,B4:B29,0),2)</f>
        <v>54</v>
      </c>
      <c r="E13" s="61">
        <f>INDEX('10_oferty s.'!B4:G29,MATCH(10,B4:B29,0),3)</f>
        <v>88</v>
      </c>
      <c r="F13" s="6">
        <f>INDEX('10_oferty s.'!B4:G29,MATCH(10,B4:B29,0),4)</f>
        <v>-34</v>
      </c>
      <c r="G13" s="61">
        <f>INDEX('10_oferty s.'!B4:G29,MATCH(10,B4:B29,0),5)</f>
        <v>60</v>
      </c>
      <c r="H13" s="6">
        <f>INDEX('10_oferty s.'!B4:G29,MATCH(10,B4:B29,0),6)</f>
        <v>-6</v>
      </c>
    </row>
    <row r="14" spans="2:8" x14ac:dyDescent="0.2">
      <c r="B14" s="6">
        <f>RANK('10_oferty s.'!C14,'10_oferty s.'!$C$4:'10_oferty s.'!$C$29,1)+COUNTIF('10_oferty s.'!$C$4:'10_oferty s.'!C14,'10_oferty s.'!C14)-1</f>
        <v>20</v>
      </c>
      <c r="C14" s="5" t="str">
        <f>INDEX('10_oferty s.'!B4:G29,MATCH(11,B4:B29,0),1)</f>
        <v>przeworski</v>
      </c>
      <c r="D14" s="6">
        <f>INDEX('10_oferty s.'!B4:G29,MATCH(11,B4:B29,0),2)</f>
        <v>59</v>
      </c>
      <c r="E14" s="61">
        <f>INDEX('10_oferty s.'!B4:G29,MATCH(11,B4:B29,0),3)</f>
        <v>144</v>
      </c>
      <c r="F14" s="6">
        <f>INDEX('10_oferty s.'!B4:G29,MATCH(11,B4:B29,0),4)</f>
        <v>-85</v>
      </c>
      <c r="G14" s="61">
        <f>INDEX('10_oferty s.'!B4:G29,MATCH(11,B4:B29,0),5)</f>
        <v>209</v>
      </c>
      <c r="H14" s="6">
        <f>INDEX('10_oferty s.'!B4:G29,MATCH(11,B4:B29,0),6)</f>
        <v>-150</v>
      </c>
    </row>
    <row r="15" spans="2:8" x14ac:dyDescent="0.2">
      <c r="B15" s="6">
        <f>RANK('10_oferty s.'!C15,'10_oferty s.'!$C$4:'10_oferty s.'!$C$29,1)+COUNTIF('10_oferty s.'!$C$4:'10_oferty s.'!C15,'10_oferty s.'!C15)-1</f>
        <v>13</v>
      </c>
      <c r="C15" s="5" t="str">
        <f>INDEX('10_oferty s.'!B4:G29,MATCH(12,B4:B29,0),1)</f>
        <v xml:space="preserve">tarnobrzeski </v>
      </c>
      <c r="D15" s="6">
        <f>INDEX('10_oferty s.'!B4:G29,MATCH(12,B4:B29,0),2)</f>
        <v>60</v>
      </c>
      <c r="E15" s="61">
        <f>INDEX('10_oferty s.'!B4:G29,MATCH(12,B4:B29,0),3)</f>
        <v>98</v>
      </c>
      <c r="F15" s="6">
        <f>INDEX('10_oferty s.'!B4:G29,MATCH(12,B4:B29,0),4)</f>
        <v>-38</v>
      </c>
      <c r="G15" s="61">
        <f>INDEX('10_oferty s.'!B4:G29,MATCH(12,B4:B29,0),5)</f>
        <v>66</v>
      </c>
      <c r="H15" s="6">
        <f>INDEX('10_oferty s.'!B4:G29,MATCH(12,B4:B29,0),6)</f>
        <v>-6</v>
      </c>
    </row>
    <row r="16" spans="2:8" x14ac:dyDescent="0.2">
      <c r="B16" s="6">
        <f>RANK('10_oferty s.'!C16,'10_oferty s.'!$C$4:'10_oferty s.'!$C$29,1)+COUNTIF('10_oferty s.'!$C$4:'10_oferty s.'!C16,'10_oferty s.'!C16)-1</f>
        <v>25</v>
      </c>
      <c r="C16" s="5" t="str">
        <f>INDEX('10_oferty s.'!B4:G29,MATCH(13,B4:B29,0),1)</f>
        <v>mielecki</v>
      </c>
      <c r="D16" s="6">
        <f>INDEX('10_oferty s.'!B4:G29,MATCH(13,B4:B29,0),2)</f>
        <v>67</v>
      </c>
      <c r="E16" s="61">
        <f>INDEX('10_oferty s.'!B4:G29,MATCH(13,B4:B29,0),3)</f>
        <v>130</v>
      </c>
      <c r="F16" s="6">
        <f>INDEX('10_oferty s.'!B4:G29,MATCH(13,B4:B29,0),4)</f>
        <v>-63</v>
      </c>
      <c r="G16" s="61">
        <f>INDEX('10_oferty s.'!B4:G29,MATCH(13,B4:B29,0),5)</f>
        <v>174</v>
      </c>
      <c r="H16" s="6">
        <f>INDEX('10_oferty s.'!B4:G29,MATCH(13,B4:B29,0),6)</f>
        <v>-107</v>
      </c>
    </row>
    <row r="17" spans="2:8" x14ac:dyDescent="0.2">
      <c r="B17" s="6">
        <f>RANK('10_oferty s.'!C17,'10_oferty s.'!$C$4:'10_oferty s.'!$C$29,1)+COUNTIF('10_oferty s.'!$C$4:'10_oferty s.'!C17,'10_oferty s.'!C17)-1</f>
        <v>8</v>
      </c>
      <c r="C17" s="5" t="str">
        <f>INDEX('10_oferty s.'!B4:G29,MATCH(14,B4:B29,0),1)</f>
        <v>sanocki</v>
      </c>
      <c r="D17" s="6">
        <f>INDEX('10_oferty s.'!B4:G29,MATCH(14,B4:B29,0),2)</f>
        <v>69</v>
      </c>
      <c r="E17" s="61">
        <f>INDEX('10_oferty s.'!B4:G29,MATCH(14,B4:B29,0),3)</f>
        <v>26</v>
      </c>
      <c r="F17" s="6">
        <f>INDEX('10_oferty s.'!B4:G29,MATCH(14,B4:B29,0),4)</f>
        <v>43</v>
      </c>
      <c r="G17" s="61">
        <f>INDEX('10_oferty s.'!B4:G29,MATCH(14,B4:B29,0),5)</f>
        <v>56</v>
      </c>
      <c r="H17" s="6">
        <f>INDEX('10_oferty s.'!B4:G29,MATCH(14,B4:B29,0),6)</f>
        <v>13</v>
      </c>
    </row>
    <row r="18" spans="2:8" x14ac:dyDescent="0.2">
      <c r="B18" s="6">
        <f>RANK('10_oferty s.'!C18,'10_oferty s.'!$C$4:'10_oferty s.'!$C$29,1)+COUNTIF('10_oferty s.'!$C$4:'10_oferty s.'!C18,'10_oferty s.'!C18)-1</f>
        <v>11</v>
      </c>
      <c r="C18" s="5" t="str">
        <f>INDEX('10_oferty s.'!B4:G29,MATCH(15,B4:B29,0),1)</f>
        <v>Przemyśl</v>
      </c>
      <c r="D18" s="6">
        <f>INDEX('10_oferty s.'!B4:G29,MATCH(15,B4:B29,0),2)</f>
        <v>69</v>
      </c>
      <c r="E18" s="61">
        <f>INDEX('10_oferty s.'!B4:G29,MATCH(15,B4:B29,0),3)</f>
        <v>49</v>
      </c>
      <c r="F18" s="6">
        <f>INDEX('10_oferty s.'!B4:G29,MATCH(15,B4:B29,0),4)</f>
        <v>20</v>
      </c>
      <c r="G18" s="61">
        <f>INDEX('10_oferty s.'!B4:G29,MATCH(15,B4:B29,0),5)</f>
        <v>65</v>
      </c>
      <c r="H18" s="6">
        <f>INDEX('10_oferty s.'!B4:G29,MATCH(15,B4:B29,0),6)</f>
        <v>4</v>
      </c>
    </row>
    <row r="19" spans="2:8" x14ac:dyDescent="0.2">
      <c r="B19" s="6">
        <f>RANK('10_oferty s.'!C19,'10_oferty s.'!$C$4:'10_oferty s.'!$C$29,1)+COUNTIF('10_oferty s.'!$C$4:'10_oferty s.'!C19,'10_oferty s.'!C19)-1</f>
        <v>19</v>
      </c>
      <c r="C19" s="5" t="str">
        <f>INDEX('10_oferty s.'!B4:G29,MATCH(16,B4:B29,0),1)</f>
        <v>rzeszowski</v>
      </c>
      <c r="D19" s="6">
        <f>INDEX('10_oferty s.'!B4:G29,MATCH(16,B4:B29,0),2)</f>
        <v>71</v>
      </c>
      <c r="E19" s="61">
        <f>INDEX('10_oferty s.'!B4:G29,MATCH(16,B4:B29,0),3)</f>
        <v>34</v>
      </c>
      <c r="F19" s="6">
        <f>INDEX('10_oferty s.'!B4:G29,MATCH(16,B4:B29,0),4)</f>
        <v>37</v>
      </c>
      <c r="G19" s="61">
        <f>INDEX('10_oferty s.'!B4:G29,MATCH(16,B4:B29,0),5)</f>
        <v>101</v>
      </c>
      <c r="H19" s="6">
        <f>INDEX('10_oferty s.'!B4:G29,MATCH(16,B4:B29,0),6)</f>
        <v>-30</v>
      </c>
    </row>
    <row r="20" spans="2:8" x14ac:dyDescent="0.2">
      <c r="B20" s="6">
        <f>RANK('10_oferty s.'!C20,'10_oferty s.'!$C$4:'10_oferty s.'!$C$29,1)+COUNTIF('10_oferty s.'!$C$4:'10_oferty s.'!C20,'10_oferty s.'!C20)-1</f>
        <v>16</v>
      </c>
      <c r="C20" s="5" t="str">
        <f>INDEX('10_oferty s.'!B4:G29,MATCH(17,B4:B29,0),1)</f>
        <v>jarosławski</v>
      </c>
      <c r="D20" s="6">
        <f>INDEX('10_oferty s.'!B4:G29,MATCH(17,B4:B29,0),2)</f>
        <v>78</v>
      </c>
      <c r="E20" s="61">
        <f>INDEX('10_oferty s.'!B4:G29,MATCH(17,B4:B29,0),3)</f>
        <v>281</v>
      </c>
      <c r="F20" s="6">
        <f>INDEX('10_oferty s.'!B4:G29,MATCH(17,B4:B29,0),4)</f>
        <v>-203</v>
      </c>
      <c r="G20" s="61">
        <f>INDEX('10_oferty s.'!B4:G29,MATCH(17,B4:B29,0),5)</f>
        <v>193</v>
      </c>
      <c r="H20" s="6">
        <f>INDEX('10_oferty s.'!B4:G29,MATCH(17,B4:B29,0),6)</f>
        <v>-115</v>
      </c>
    </row>
    <row r="21" spans="2:8" x14ac:dyDescent="0.2">
      <c r="B21" s="6">
        <f>RANK('10_oferty s.'!C21,'10_oferty s.'!$C$4:'10_oferty s.'!$C$29,1)+COUNTIF('10_oferty s.'!$C$4:'10_oferty s.'!C21,'10_oferty s.'!C21)-1</f>
        <v>14</v>
      </c>
      <c r="C21" s="5" t="str">
        <f>INDEX('10_oferty s.'!B4:G29,MATCH(18,B4:B29,0),1)</f>
        <v>Rzeszów</v>
      </c>
      <c r="D21" s="6">
        <f>INDEX('10_oferty s.'!B4:G29,MATCH(18,B4:B29,0),2)</f>
        <v>95</v>
      </c>
      <c r="E21" s="61">
        <f>INDEX('10_oferty s.'!B4:G29,MATCH(18,B4:B29,0),3)</f>
        <v>97</v>
      </c>
      <c r="F21" s="6">
        <f>INDEX('10_oferty s.'!B4:G29,MATCH(18,B4:B29,0),4)</f>
        <v>-2</v>
      </c>
      <c r="G21" s="61">
        <f>INDEX('10_oferty s.'!B4:G29,MATCH(18,B4:B29,0),5)</f>
        <v>131</v>
      </c>
      <c r="H21" s="6">
        <f>INDEX('10_oferty s.'!B4:G29,MATCH(18,B4:B29,0),6)</f>
        <v>-36</v>
      </c>
    </row>
    <row r="22" spans="2:8" x14ac:dyDescent="0.2">
      <c r="B22" s="6">
        <f>RANK('10_oferty s.'!C22,'10_oferty s.'!$C$4:'10_oferty s.'!$C$29,1)+COUNTIF('10_oferty s.'!$C$4:'10_oferty s.'!C22,'10_oferty s.'!C22)-1</f>
        <v>4</v>
      </c>
      <c r="C22" s="5" t="str">
        <f>INDEX('10_oferty s.'!B4:G29,MATCH(19,B4:B29,0),1)</f>
        <v>ropczycko-sędziszowski</v>
      </c>
      <c r="D22" s="6">
        <f>INDEX('10_oferty s.'!B4:G29,MATCH(19,B4:B29,0),2)</f>
        <v>107</v>
      </c>
      <c r="E22" s="61">
        <f>INDEX('10_oferty s.'!B4:G29,MATCH(19,B4:B29,0),3)</f>
        <v>49</v>
      </c>
      <c r="F22" s="6">
        <f>INDEX('10_oferty s.'!B4:G29,MATCH(19,B4:B29,0),4)</f>
        <v>58</v>
      </c>
      <c r="G22" s="61">
        <f>INDEX('10_oferty s.'!B4:G29,MATCH(19,B4:B29,0),5)</f>
        <v>93</v>
      </c>
      <c r="H22" s="6">
        <f>INDEX('10_oferty s.'!B4:G29,MATCH(19,B4:B29,0),6)</f>
        <v>14</v>
      </c>
    </row>
    <row r="23" spans="2:8" x14ac:dyDescent="0.2">
      <c r="B23" s="6">
        <f>RANK('10_oferty s.'!C23,'10_oferty s.'!$C$4:'10_oferty s.'!$C$29,1)+COUNTIF('10_oferty s.'!$C$4:'10_oferty s.'!C23,'10_oferty s.'!C23)-1</f>
        <v>24</v>
      </c>
      <c r="C23" s="5" t="str">
        <f>INDEX('10_oferty s.'!B4:G29,MATCH(20,B4:B29,0),1)</f>
        <v>łańcucki</v>
      </c>
      <c r="D23" s="6">
        <f>INDEX('10_oferty s.'!B4:G29,MATCH(20,B4:B29,0),2)</f>
        <v>110</v>
      </c>
      <c r="E23" s="61">
        <f>INDEX('10_oferty s.'!B4:G29,MATCH(20,B4:B29,0),3)</f>
        <v>123</v>
      </c>
      <c r="F23" s="6">
        <f>INDEX('10_oferty s.'!B4:G29,MATCH(20,B4:B29,0),4)</f>
        <v>-13</v>
      </c>
      <c r="G23" s="61">
        <f>INDEX('10_oferty s.'!B4:G29,MATCH(20,B4:B29,0),5)</f>
        <v>94</v>
      </c>
      <c r="H23" s="6">
        <f>INDEX('10_oferty s.'!B4:G29,MATCH(20,B4:B29,0),6)</f>
        <v>16</v>
      </c>
    </row>
    <row r="24" spans="2:8" x14ac:dyDescent="0.2">
      <c r="B24" s="6">
        <f>RANK('10_oferty s.'!C24,'10_oferty s.'!$C$4:'10_oferty s.'!$C$29,1)+COUNTIF('10_oferty s.'!$C$4:'10_oferty s.'!C24,'10_oferty s.'!C24)-1</f>
        <v>12</v>
      </c>
      <c r="C24" s="5" t="str">
        <f>INDEX('10_oferty s.'!B4:G29,MATCH(21,B4:B29,0),1)</f>
        <v>brzozowski</v>
      </c>
      <c r="D24" s="6">
        <f>INDEX('10_oferty s.'!B4:G29,MATCH(21,B4:B29,0),2)</f>
        <v>117</v>
      </c>
      <c r="E24" s="61">
        <f>INDEX('10_oferty s.'!B4:G29,MATCH(21,B4:B29,0),3)</f>
        <v>46</v>
      </c>
      <c r="F24" s="6">
        <f>INDEX('10_oferty s.'!B4:G29,MATCH(21,B4:B29,0),4)</f>
        <v>71</v>
      </c>
      <c r="G24" s="61">
        <f>INDEX('10_oferty s.'!B4:G29,MATCH(21,B4:B29,0),5)</f>
        <v>104</v>
      </c>
      <c r="H24" s="6">
        <f>INDEX('10_oferty s.'!B4:G29,MATCH(21,B4:B29,0),6)</f>
        <v>13</v>
      </c>
    </row>
    <row r="25" spans="2:8" x14ac:dyDescent="0.2">
      <c r="B25" s="6">
        <f>RANK('10_oferty s.'!C25,'10_oferty s.'!$C$4:'10_oferty s.'!$C$29,1)+COUNTIF('10_oferty s.'!$C$4:'10_oferty s.'!C25,'10_oferty s.'!C25)-1</f>
        <v>2</v>
      </c>
      <c r="C25" s="5" t="str">
        <f>INDEX('10_oferty s.'!B4:G29,MATCH(22,B4:B29,0),1)</f>
        <v>jasielski</v>
      </c>
      <c r="D25" s="6">
        <f>INDEX('10_oferty s.'!B4:G29,MATCH(22,B4:B29,0),2)</f>
        <v>118</v>
      </c>
      <c r="E25" s="61">
        <f>INDEX('10_oferty s.'!B4:G29,MATCH(22,B4:B29,0),3)</f>
        <v>123</v>
      </c>
      <c r="F25" s="6">
        <f>INDEX('10_oferty s.'!B4:G29,MATCH(22,B4:B29,0),4)</f>
        <v>-5</v>
      </c>
      <c r="G25" s="61">
        <f>INDEX('10_oferty s.'!B4:G29,MATCH(22,B4:B29,0),5)</f>
        <v>181</v>
      </c>
      <c r="H25" s="6">
        <f>INDEX('10_oferty s.'!B4:G29,MATCH(22,B4:B29,0),6)</f>
        <v>-63</v>
      </c>
    </row>
    <row r="26" spans="2:8" x14ac:dyDescent="0.2">
      <c r="B26" s="6">
        <f>RANK('10_oferty s.'!C26,'10_oferty s.'!$C$4:'10_oferty s.'!$C$29,1)+COUNTIF('10_oferty s.'!$C$4:'10_oferty s.'!C26,'10_oferty s.'!C26)-1</f>
        <v>15</v>
      </c>
      <c r="C26" s="5" t="str">
        <f>INDEX('10_oferty s.'!B4:G29,MATCH(23,B4:B29,0),1)</f>
        <v>leżajski</v>
      </c>
      <c r="D26" s="6">
        <f>INDEX('10_oferty s.'!B4:G29,MATCH(23,B4:B29,0),2)</f>
        <v>126</v>
      </c>
      <c r="E26" s="61">
        <f>INDEX('10_oferty s.'!B4:G29,MATCH(23,B4:B29,0),3)</f>
        <v>113</v>
      </c>
      <c r="F26" s="6">
        <f>INDEX('10_oferty s.'!B4:G29,MATCH(23,B4:B29,0),4)</f>
        <v>13</v>
      </c>
      <c r="G26" s="61">
        <f>INDEX('10_oferty s.'!B4:G29,MATCH(23,B4:B29,0),5)</f>
        <v>93</v>
      </c>
      <c r="H26" s="6">
        <f>INDEX('10_oferty s.'!B4:G29,MATCH(23,B4:B29,0),6)</f>
        <v>33</v>
      </c>
    </row>
    <row r="27" spans="2:8" x14ac:dyDescent="0.2">
      <c r="B27" s="6">
        <f>RANK('10_oferty s.'!C27,'10_oferty s.'!$C$4:'10_oferty s.'!$C$29,1)+COUNTIF('10_oferty s.'!$C$4:'10_oferty s.'!C27,'10_oferty s.'!C27)-1</f>
        <v>18</v>
      </c>
      <c r="C27" s="5" t="str">
        <f>INDEX('10_oferty s.'!B4:G29,MATCH(24,B4:B29,0),1)</f>
        <v>strzyżowski</v>
      </c>
      <c r="D27" s="6">
        <f>INDEX('10_oferty s.'!B4:G29,MATCH(24,B4:B29,0),2)</f>
        <v>157</v>
      </c>
      <c r="E27" s="61">
        <f>INDEX('10_oferty s.'!B4:G29,MATCH(24,B4:B29,0),3)</f>
        <v>143</v>
      </c>
      <c r="F27" s="6">
        <f>INDEX('10_oferty s.'!B4:G29,MATCH(24,B4:B29,0),4)</f>
        <v>14</v>
      </c>
      <c r="G27" s="61">
        <f>INDEX('10_oferty s.'!B4:G29,MATCH(24,B4:B29,0),5)</f>
        <v>152</v>
      </c>
      <c r="H27" s="6">
        <f>INDEX('10_oferty s.'!B4:G29,MATCH(24,B4:B29,0),6)</f>
        <v>5</v>
      </c>
    </row>
    <row r="28" spans="2:8" x14ac:dyDescent="0.2">
      <c r="B28" s="6">
        <f>RANK('10_oferty s.'!C28,'10_oferty s.'!$C$4:'10_oferty s.'!$C$29,1)+COUNTIF('10_oferty s.'!$C$4:'10_oferty s.'!C28,'10_oferty s.'!C28)-1</f>
        <v>6</v>
      </c>
      <c r="C28" s="5" t="str">
        <f>INDEX('10_oferty s.'!B4:G29,MATCH(25,B4:B29,0),1)</f>
        <v>niżański</v>
      </c>
      <c r="D28" s="6">
        <f>INDEX('10_oferty s.'!B4:G29,MATCH(25,B4:B29,0),2)</f>
        <v>194</v>
      </c>
      <c r="E28" s="61">
        <f>INDEX('10_oferty s.'!B4:G29,MATCH(25,B4:B29,0),3)</f>
        <v>69</v>
      </c>
      <c r="F28" s="6">
        <f>INDEX('10_oferty s.'!B4:G29,MATCH(25,B4:B29,0),4)</f>
        <v>125</v>
      </c>
      <c r="G28" s="61">
        <f>INDEX('10_oferty s.'!B4:G29,MATCH(25,B4:B29,0),5)</f>
        <v>129</v>
      </c>
      <c r="H28" s="6">
        <f>INDEX('10_oferty s.'!B4:G29,MATCH(25,B4:B29,0),6)</f>
        <v>65</v>
      </c>
    </row>
    <row r="29" spans="2:8" ht="15" x14ac:dyDescent="0.25">
      <c r="B29" s="59">
        <f>RANK('10_oferty s.'!C29,'10_oferty s.'!$C$4:'10_oferty s.'!$C$29,1)+COUNTIF('10_oferty s.'!$C$4:'10_oferty s.'!C29,'10_oferty s.'!C29)-1</f>
        <v>26</v>
      </c>
      <c r="C29" s="58" t="str">
        <f>INDEX('10_oferty s.'!B4:G29,MATCH(26,B4:B29,0),1)</f>
        <v>województwo</v>
      </c>
      <c r="D29" s="59">
        <f>INDEX('10_oferty s.'!B4:G29,MATCH(26,B4:B29,0),2)</f>
        <v>1889</v>
      </c>
      <c r="E29" s="63">
        <f>INDEX('10_oferty s.'!B4:G29,MATCH(26,B4:B29,0),3)</f>
        <v>2153</v>
      </c>
      <c r="F29" s="59">
        <f>INDEX('10_oferty s.'!B4:G29,MATCH(26,B4:B29,0),4)</f>
        <v>-264</v>
      </c>
      <c r="G29" s="63">
        <f>INDEX('10_oferty s.'!B4:G29,MATCH(26,B4:B29,0),5)</f>
        <v>2501</v>
      </c>
      <c r="H29" s="59">
        <f>INDEX('10_oferty s.'!B4:G29,MATCH(26,B4:B29,0),6)</f>
        <v>-612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E0D-B0EF-47B0-9BED-4BA60E34CD96}">
  <sheetPr>
    <tabColor rgb="FFCCC0DA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49" t="s">
        <v>99</v>
      </c>
      <c r="C1" s="47"/>
      <c r="D1" s="47"/>
      <c r="E1" s="47"/>
      <c r="F1" s="47"/>
      <c r="G1" s="47"/>
      <c r="H1" s="48"/>
      <c r="I1" s="48"/>
      <c r="J1" s="48"/>
      <c r="K1" s="48"/>
    </row>
    <row r="2" spans="2:11" ht="14.25" customHeight="1" x14ac:dyDescent="0.2">
      <c r="B2" s="1" t="s">
        <v>100</v>
      </c>
      <c r="C2" s="42"/>
      <c r="D2" s="42"/>
      <c r="E2" s="42"/>
      <c r="F2" s="42"/>
      <c r="G2" s="42"/>
      <c r="H2" s="48"/>
      <c r="I2" s="48"/>
      <c r="J2" s="48"/>
      <c r="K2" s="48"/>
    </row>
    <row r="3" spans="2:11" ht="57" x14ac:dyDescent="0.2">
      <c r="B3" s="55" t="s">
        <v>27</v>
      </c>
      <c r="C3" s="56" t="s">
        <v>128</v>
      </c>
      <c r="D3" s="57" t="s">
        <v>110</v>
      </c>
      <c r="E3" s="56" t="s">
        <v>28</v>
      </c>
      <c r="F3" s="57" t="s">
        <v>129</v>
      </c>
      <c r="G3" s="56" t="s">
        <v>26</v>
      </c>
    </row>
    <row r="4" spans="2:11" x14ac:dyDescent="0.2">
      <c r="B4" s="5" t="s">
        <v>0</v>
      </c>
      <c r="C4" s="45">
        <v>28</v>
      </c>
      <c r="D4" s="61">
        <v>35</v>
      </c>
      <c r="E4" s="45">
        <f t="shared" ref="E4:E28" si="0">SUM(C4)-D4</f>
        <v>-7</v>
      </c>
      <c r="F4" s="61">
        <v>39</v>
      </c>
      <c r="G4" s="45">
        <f t="shared" ref="G4:G28" si="1">SUM(C4)-F4</f>
        <v>-11</v>
      </c>
      <c r="H4" s="7"/>
    </row>
    <row r="5" spans="2:11" x14ac:dyDescent="0.2">
      <c r="B5" s="5" t="s">
        <v>1</v>
      </c>
      <c r="C5" s="45">
        <v>6</v>
      </c>
      <c r="D5" s="61">
        <v>6</v>
      </c>
      <c r="E5" s="45">
        <f t="shared" si="0"/>
        <v>0</v>
      </c>
      <c r="F5" s="61">
        <v>6</v>
      </c>
      <c r="G5" s="45">
        <f t="shared" si="1"/>
        <v>0</v>
      </c>
      <c r="H5" s="7"/>
    </row>
    <row r="6" spans="2:11" x14ac:dyDescent="0.2">
      <c r="B6" s="5" t="s">
        <v>2</v>
      </c>
      <c r="C6" s="45">
        <v>169</v>
      </c>
      <c r="D6" s="61">
        <v>191</v>
      </c>
      <c r="E6" s="45">
        <f t="shared" si="0"/>
        <v>-22</v>
      </c>
      <c r="F6" s="61">
        <v>207</v>
      </c>
      <c r="G6" s="45">
        <f t="shared" si="1"/>
        <v>-38</v>
      </c>
      <c r="H6" s="7"/>
    </row>
    <row r="7" spans="2:11" x14ac:dyDescent="0.2">
      <c r="B7" s="5" t="s">
        <v>3</v>
      </c>
      <c r="C7" s="45">
        <v>131</v>
      </c>
      <c r="D7" s="61">
        <v>132</v>
      </c>
      <c r="E7" s="45">
        <f t="shared" si="0"/>
        <v>-1</v>
      </c>
      <c r="F7" s="61">
        <v>137</v>
      </c>
      <c r="G7" s="45">
        <f t="shared" si="1"/>
        <v>-6</v>
      </c>
      <c r="H7" s="7"/>
    </row>
    <row r="8" spans="2:11" x14ac:dyDescent="0.2">
      <c r="B8" s="5" t="s">
        <v>4</v>
      </c>
      <c r="C8" s="45">
        <v>128</v>
      </c>
      <c r="D8" s="61">
        <v>159</v>
      </c>
      <c r="E8" s="45">
        <f t="shared" si="0"/>
        <v>-31</v>
      </c>
      <c r="F8" s="61">
        <v>144</v>
      </c>
      <c r="G8" s="45">
        <f t="shared" si="1"/>
        <v>-16</v>
      </c>
      <c r="H8" s="7"/>
    </row>
    <row r="9" spans="2:11" x14ac:dyDescent="0.2">
      <c r="B9" s="5" t="s">
        <v>5</v>
      </c>
      <c r="C9" s="45">
        <v>64</v>
      </c>
      <c r="D9" s="61">
        <v>79</v>
      </c>
      <c r="E9" s="45">
        <f t="shared" si="0"/>
        <v>-15</v>
      </c>
      <c r="F9" s="61">
        <v>83</v>
      </c>
      <c r="G9" s="45">
        <f t="shared" si="1"/>
        <v>-19</v>
      </c>
      <c r="H9" s="7"/>
    </row>
    <row r="10" spans="2:11" x14ac:dyDescent="0.2">
      <c r="B10" s="9" t="s">
        <v>6</v>
      </c>
      <c r="C10" s="45">
        <v>70</v>
      </c>
      <c r="D10" s="61">
        <v>107</v>
      </c>
      <c r="E10" s="45">
        <f t="shared" si="0"/>
        <v>-37</v>
      </c>
      <c r="F10" s="61">
        <v>85</v>
      </c>
      <c r="G10" s="45">
        <f t="shared" si="1"/>
        <v>-15</v>
      </c>
      <c r="H10" s="7"/>
    </row>
    <row r="11" spans="2:11" x14ac:dyDescent="0.2">
      <c r="B11" s="5" t="s">
        <v>7</v>
      </c>
      <c r="C11" s="45">
        <v>21</v>
      </c>
      <c r="D11" s="61">
        <v>9</v>
      </c>
      <c r="E11" s="45">
        <f t="shared" si="0"/>
        <v>12</v>
      </c>
      <c r="F11" s="61">
        <v>44</v>
      </c>
      <c r="G11" s="45">
        <f t="shared" si="1"/>
        <v>-23</v>
      </c>
      <c r="H11" s="7"/>
    </row>
    <row r="12" spans="2:11" x14ac:dyDescent="0.2">
      <c r="B12" s="5" t="s">
        <v>8</v>
      </c>
      <c r="C12" s="45">
        <v>95</v>
      </c>
      <c r="D12" s="61">
        <v>73</v>
      </c>
      <c r="E12" s="45">
        <f t="shared" si="0"/>
        <v>22</v>
      </c>
      <c r="F12" s="61">
        <v>36</v>
      </c>
      <c r="G12" s="45">
        <f t="shared" si="1"/>
        <v>59</v>
      </c>
      <c r="H12" s="7"/>
    </row>
    <row r="13" spans="2:11" x14ac:dyDescent="0.2">
      <c r="B13" s="5" t="s">
        <v>9</v>
      </c>
      <c r="C13" s="45">
        <v>64</v>
      </c>
      <c r="D13" s="61">
        <v>59</v>
      </c>
      <c r="E13" s="45">
        <f t="shared" si="0"/>
        <v>5</v>
      </c>
      <c r="F13" s="61">
        <v>61</v>
      </c>
      <c r="G13" s="45">
        <f t="shared" si="1"/>
        <v>3</v>
      </c>
      <c r="H13" s="7"/>
    </row>
    <row r="14" spans="2:11" x14ac:dyDescent="0.2">
      <c r="B14" s="5" t="s">
        <v>10</v>
      </c>
      <c r="C14" s="45">
        <v>94</v>
      </c>
      <c r="D14" s="61">
        <v>101</v>
      </c>
      <c r="E14" s="45">
        <f t="shared" si="0"/>
        <v>-7</v>
      </c>
      <c r="F14" s="61">
        <v>67</v>
      </c>
      <c r="G14" s="45">
        <f t="shared" si="1"/>
        <v>27</v>
      </c>
      <c r="H14" s="7"/>
    </row>
    <row r="15" spans="2:11" x14ac:dyDescent="0.2">
      <c r="B15" s="5" t="s">
        <v>11</v>
      </c>
      <c r="C15" s="45">
        <v>186</v>
      </c>
      <c r="D15" s="61">
        <v>228</v>
      </c>
      <c r="E15" s="45">
        <f t="shared" si="0"/>
        <v>-42</v>
      </c>
      <c r="F15" s="61">
        <v>332</v>
      </c>
      <c r="G15" s="45">
        <f t="shared" si="1"/>
        <v>-146</v>
      </c>
      <c r="H15" s="7"/>
    </row>
    <row r="16" spans="2:11" x14ac:dyDescent="0.2">
      <c r="B16" s="5" t="s">
        <v>12</v>
      </c>
      <c r="C16" s="45">
        <v>113</v>
      </c>
      <c r="D16" s="61">
        <v>72</v>
      </c>
      <c r="E16" s="45">
        <f t="shared" si="0"/>
        <v>41</v>
      </c>
      <c r="F16" s="61">
        <v>81</v>
      </c>
      <c r="G16" s="45">
        <f t="shared" si="1"/>
        <v>32</v>
      </c>
      <c r="H16" s="7"/>
    </row>
    <row r="17" spans="2:8" x14ac:dyDescent="0.2">
      <c r="B17" s="5" t="s">
        <v>13</v>
      </c>
      <c r="C17" s="45">
        <v>14</v>
      </c>
      <c r="D17" s="61">
        <v>20</v>
      </c>
      <c r="E17" s="45">
        <f t="shared" si="0"/>
        <v>-6</v>
      </c>
      <c r="F17" s="61">
        <v>14</v>
      </c>
      <c r="G17" s="45">
        <f t="shared" si="1"/>
        <v>0</v>
      </c>
      <c r="H17" s="7"/>
    </row>
    <row r="18" spans="2:8" x14ac:dyDescent="0.2">
      <c r="B18" s="5" t="s">
        <v>14</v>
      </c>
      <c r="C18" s="45">
        <v>150</v>
      </c>
      <c r="D18" s="61">
        <v>127</v>
      </c>
      <c r="E18" s="45">
        <f t="shared" si="0"/>
        <v>23</v>
      </c>
      <c r="F18" s="61">
        <v>218</v>
      </c>
      <c r="G18" s="45">
        <f t="shared" si="1"/>
        <v>-68</v>
      </c>
      <c r="H18" s="7"/>
    </row>
    <row r="19" spans="2:8" x14ac:dyDescent="0.2">
      <c r="B19" s="5" t="s">
        <v>15</v>
      </c>
      <c r="C19" s="45">
        <v>75</v>
      </c>
      <c r="D19" s="61">
        <v>56</v>
      </c>
      <c r="E19" s="45">
        <f t="shared" si="0"/>
        <v>19</v>
      </c>
      <c r="F19" s="61">
        <v>104</v>
      </c>
      <c r="G19" s="45">
        <f t="shared" si="1"/>
        <v>-29</v>
      </c>
      <c r="H19" s="7"/>
    </row>
    <row r="20" spans="2:8" x14ac:dyDescent="0.2">
      <c r="B20" s="5" t="s">
        <v>16</v>
      </c>
      <c r="C20" s="45">
        <v>87</v>
      </c>
      <c r="D20" s="61">
        <v>87</v>
      </c>
      <c r="E20" s="45">
        <f t="shared" si="0"/>
        <v>0</v>
      </c>
      <c r="F20" s="61">
        <v>161</v>
      </c>
      <c r="G20" s="45">
        <f t="shared" si="1"/>
        <v>-74</v>
      </c>
      <c r="H20" s="7"/>
    </row>
    <row r="21" spans="2:8" x14ac:dyDescent="0.2">
      <c r="B21" s="5" t="s">
        <v>17</v>
      </c>
      <c r="C21" s="45">
        <v>150</v>
      </c>
      <c r="D21" s="61">
        <v>50</v>
      </c>
      <c r="E21" s="45">
        <f t="shared" si="0"/>
        <v>100</v>
      </c>
      <c r="F21" s="61">
        <v>57</v>
      </c>
      <c r="G21" s="45">
        <f t="shared" si="1"/>
        <v>93</v>
      </c>
      <c r="H21" s="7"/>
    </row>
    <row r="22" spans="2:8" x14ac:dyDescent="0.2">
      <c r="B22" s="5" t="s">
        <v>18</v>
      </c>
      <c r="C22" s="45">
        <v>32</v>
      </c>
      <c r="D22" s="61">
        <v>67</v>
      </c>
      <c r="E22" s="45">
        <f t="shared" si="0"/>
        <v>-35</v>
      </c>
      <c r="F22" s="61">
        <v>115</v>
      </c>
      <c r="G22" s="45">
        <f t="shared" si="1"/>
        <v>-83</v>
      </c>
      <c r="H22" s="7"/>
    </row>
    <row r="23" spans="2:8" x14ac:dyDescent="0.2">
      <c r="B23" s="5" t="s">
        <v>19</v>
      </c>
      <c r="C23" s="45">
        <v>136</v>
      </c>
      <c r="D23" s="61">
        <v>109</v>
      </c>
      <c r="E23" s="45">
        <f t="shared" si="0"/>
        <v>27</v>
      </c>
      <c r="F23" s="61">
        <v>165</v>
      </c>
      <c r="G23" s="45">
        <f t="shared" si="1"/>
        <v>-29</v>
      </c>
      <c r="H23" s="7"/>
    </row>
    <row r="24" spans="2:8" x14ac:dyDescent="0.2">
      <c r="B24" s="5" t="s">
        <v>20</v>
      </c>
      <c r="C24" s="45">
        <v>56</v>
      </c>
      <c r="D24" s="61">
        <v>53</v>
      </c>
      <c r="E24" s="45">
        <f t="shared" si="0"/>
        <v>3</v>
      </c>
      <c r="F24" s="61">
        <v>118</v>
      </c>
      <c r="G24" s="45">
        <f t="shared" si="1"/>
        <v>-62</v>
      </c>
      <c r="H24" s="7"/>
    </row>
    <row r="25" spans="2:8" x14ac:dyDescent="0.2">
      <c r="B25" s="5" t="s">
        <v>21</v>
      </c>
      <c r="C25" s="45">
        <v>29</v>
      </c>
      <c r="D25" s="61">
        <v>52</v>
      </c>
      <c r="E25" s="45">
        <f t="shared" si="0"/>
        <v>-23</v>
      </c>
      <c r="F25" s="61">
        <v>81</v>
      </c>
      <c r="G25" s="45">
        <f t="shared" si="1"/>
        <v>-52</v>
      </c>
      <c r="H25" s="7"/>
    </row>
    <row r="26" spans="2:8" x14ac:dyDescent="0.2">
      <c r="B26" s="5" t="s">
        <v>22</v>
      </c>
      <c r="C26" s="45">
        <v>30</v>
      </c>
      <c r="D26" s="61">
        <v>36</v>
      </c>
      <c r="E26" s="45">
        <f t="shared" si="0"/>
        <v>-6</v>
      </c>
      <c r="F26" s="61">
        <v>47</v>
      </c>
      <c r="G26" s="45">
        <f t="shared" si="1"/>
        <v>-17</v>
      </c>
      <c r="H26" s="7"/>
    </row>
    <row r="27" spans="2:8" x14ac:dyDescent="0.2">
      <c r="B27" s="5" t="s">
        <v>23</v>
      </c>
      <c r="C27" s="45">
        <v>327</v>
      </c>
      <c r="D27" s="61">
        <v>298</v>
      </c>
      <c r="E27" s="45">
        <f t="shared" si="0"/>
        <v>29</v>
      </c>
      <c r="F27" s="61">
        <v>660</v>
      </c>
      <c r="G27" s="45">
        <f t="shared" si="1"/>
        <v>-333</v>
      </c>
      <c r="H27" s="7"/>
    </row>
    <row r="28" spans="2:8" x14ac:dyDescent="0.2">
      <c r="B28" s="5" t="s">
        <v>24</v>
      </c>
      <c r="C28" s="45">
        <v>81</v>
      </c>
      <c r="D28" s="61">
        <v>50</v>
      </c>
      <c r="E28" s="45">
        <f t="shared" si="0"/>
        <v>31</v>
      </c>
      <c r="F28" s="61">
        <v>100</v>
      </c>
      <c r="G28" s="45">
        <f t="shared" si="1"/>
        <v>-19</v>
      </c>
      <c r="H28" s="7"/>
    </row>
    <row r="29" spans="2:8" ht="15" x14ac:dyDescent="0.25">
      <c r="B29" s="58" t="s">
        <v>25</v>
      </c>
      <c r="C29" s="79">
        <f>SUM(C4:C28)</f>
        <v>2336</v>
      </c>
      <c r="D29" s="63">
        <f>SUM(D4:D28)</f>
        <v>2256</v>
      </c>
      <c r="E29" s="79">
        <f>SUM(E4:E28)</f>
        <v>80</v>
      </c>
      <c r="F29" s="63">
        <f>SUM(F4:F28)</f>
        <v>3162</v>
      </c>
      <c r="G29" s="79">
        <f>SUM(G4:G28)</f>
        <v>-826</v>
      </c>
      <c r="H29" s="7"/>
    </row>
    <row r="30" spans="2:8" ht="12" customHeight="1" x14ac:dyDescent="0.2">
      <c r="B30" s="4"/>
      <c r="C30" s="19"/>
      <c r="E30" s="7"/>
      <c r="G30" s="7"/>
    </row>
    <row r="31" spans="2:8" ht="9" customHeight="1" x14ac:dyDescent="0.2">
      <c r="B31" s="4"/>
    </row>
    <row r="32" spans="2:8" ht="12.75" customHeight="1" x14ac:dyDescent="0.2">
      <c r="B32" s="4"/>
    </row>
  </sheetData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04CE-3E48-45FF-A1F2-DBA69F4DCD6E}">
  <sheetPr>
    <tabColor rgb="FF60497A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101</v>
      </c>
      <c r="C1" s="50"/>
      <c r="D1" s="50"/>
      <c r="E1" s="50"/>
      <c r="F1" s="50"/>
      <c r="G1" s="50"/>
      <c r="H1" s="50"/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T('10_oferty s.'!B3)</f>
        <v>powiaty</v>
      </c>
      <c r="D3" s="55" t="str">
        <f>T('10_oferty s.'!C3)</f>
        <v>liczba ofert w III '23 r.</v>
      </c>
      <c r="E3" s="55" t="str">
        <f>T('10_oferty s.'!D3)</f>
        <v>liczba ofert w II '23 r.</v>
      </c>
      <c r="F3" s="55" t="str">
        <f>T('10_oferty s.'!E3)</f>
        <v>wzrost/spadek do poprzedniego  miesiąca</v>
      </c>
      <c r="G3" s="55" t="str">
        <f>T('10_oferty s.'!F3)</f>
        <v>liczba ofert w III '22 r.</v>
      </c>
      <c r="H3" s="55" t="str">
        <f>T('10_oferty s.'!G3)</f>
        <v>wzrost/spadek do analogicznego okresu ubr.</v>
      </c>
    </row>
    <row r="4" spans="2:8" x14ac:dyDescent="0.2">
      <c r="B4" s="6">
        <f>RANK('11_of st. k.'!C4,'11_of st. k.'!$C$4:'11_of st. k.'!$C$29,1)+COUNTIF('11_of st. k.'!$C$4:'11_of st. k.'!C4,'11_of st. k.'!C4)-1</f>
        <v>4</v>
      </c>
      <c r="C4" s="5" t="str">
        <f>INDEX('11_of st. k.'!B4:G29,MATCH(1,B4:B29,0),1)</f>
        <v>brzozowski</v>
      </c>
      <c r="D4" s="25">
        <f>INDEX('11_of st. k.'!B4:G29,MATCH(1,B4:B29,0),2)</f>
        <v>6</v>
      </c>
      <c r="E4" s="61">
        <f>INDEX('11_of st. k.'!B4:G29,MATCH(1,B4:B29,0),3)</f>
        <v>6</v>
      </c>
      <c r="F4" s="6">
        <f>INDEX('11_of st. k.'!B4:G29,MATCH(1,B4:B29,0),4)</f>
        <v>0</v>
      </c>
      <c r="G4" s="61">
        <f>INDEX('11_of st. k.'!B4:G29,MATCH(1,B4:B29,0),5)</f>
        <v>6</v>
      </c>
      <c r="H4" s="6">
        <f>INDEX('11_of st. k.'!B4:G29,MATCH(1,B4:B29,0),6)</f>
        <v>0</v>
      </c>
    </row>
    <row r="5" spans="2:8" x14ac:dyDescent="0.2">
      <c r="B5" s="6">
        <f>RANK('11_of st. k.'!C5,'11_of st. k.'!$C$4:'11_of st. k.'!$C$29,1)+COUNTIF('11_of st. k.'!$C$4:'11_of st. k.'!C5,'11_of st. k.'!C5)-1</f>
        <v>1</v>
      </c>
      <c r="C5" s="5" t="str">
        <f>INDEX('11_of st. k.'!B4:G29,MATCH(2,B4:B29,0),1)</f>
        <v>przemyski</v>
      </c>
      <c r="D5" s="6">
        <f>INDEX('11_of st. k.'!B4:G29,MATCH(2,B4:B29,0),2)</f>
        <v>14</v>
      </c>
      <c r="E5" s="61">
        <f>INDEX('11_of st. k.'!B4:G29,MATCH(2,B4:B29,0),3)</f>
        <v>20</v>
      </c>
      <c r="F5" s="6">
        <f>INDEX('11_of st. k.'!B4:G29,MATCH(2,B4:B29,0),4)</f>
        <v>-6</v>
      </c>
      <c r="G5" s="61">
        <f>INDEX('11_of st. k.'!B4:G29,MATCH(2,B4:B29,0),5)</f>
        <v>14</v>
      </c>
      <c r="H5" s="6">
        <f>INDEX('11_of st. k.'!B4:G29,MATCH(2,B4:B29,0),6)</f>
        <v>0</v>
      </c>
    </row>
    <row r="6" spans="2:8" x14ac:dyDescent="0.2">
      <c r="B6" s="6">
        <f>RANK('11_of st. k.'!C6,'11_of st. k.'!$C$4:'11_of st. k.'!$C$29,1)+COUNTIF('11_of st. k.'!$C$4:'11_of st. k.'!C6,'11_of st. k.'!C6)-1</f>
        <v>23</v>
      </c>
      <c r="C6" s="5" t="str">
        <f>INDEX('11_of st. k.'!B4:G29,MATCH(3,B4:B29,0),1)</f>
        <v>leski</v>
      </c>
      <c r="D6" s="6">
        <f>INDEX('11_of st. k.'!B4:G29,MATCH(3,B4:B29,0),2)</f>
        <v>21</v>
      </c>
      <c r="E6" s="61">
        <f>INDEX('11_of st. k.'!B4:G29,MATCH(3,B4:B29,0),3)</f>
        <v>9</v>
      </c>
      <c r="F6" s="6">
        <f>INDEX('11_of st. k.'!B4:G29,MATCH(3,B4:B29,0),4)</f>
        <v>12</v>
      </c>
      <c r="G6" s="61">
        <f>INDEX('11_of st. k.'!B4:G29,MATCH(3,B4:B29,0),5)</f>
        <v>44</v>
      </c>
      <c r="H6" s="6">
        <f>INDEX('11_of st. k.'!B4:G29,MATCH(3,B4:B29,0),6)</f>
        <v>-23</v>
      </c>
    </row>
    <row r="7" spans="2:8" x14ac:dyDescent="0.2">
      <c r="B7" s="6">
        <f>RANK('11_of st. k.'!C7,'11_of st. k.'!$C$4:'11_of st. k.'!$C$29,1)+COUNTIF('11_of st. k.'!$C$4:'11_of st. k.'!C7,'11_of st. k.'!C7)-1</f>
        <v>19</v>
      </c>
      <c r="C7" s="5" t="str">
        <f>INDEX('11_of st. k.'!B4:G29,MATCH(4,B4:B29,0),1)</f>
        <v>bieszczadzki</v>
      </c>
      <c r="D7" s="6">
        <f>INDEX('11_of st. k.'!B4:G29,MATCH(4,B4:B29,0),2)</f>
        <v>28</v>
      </c>
      <c r="E7" s="61">
        <f>INDEX('11_of st. k.'!B4:G29,MATCH(4,B4:B29,0),3)</f>
        <v>35</v>
      </c>
      <c r="F7" s="6">
        <f>INDEX('11_of st. k.'!B4:G29,MATCH(4,B4:B29,0),4)</f>
        <v>-7</v>
      </c>
      <c r="G7" s="61">
        <f>INDEX('11_of st. k.'!B4:G29,MATCH(4,B4:B29,0),5)</f>
        <v>39</v>
      </c>
      <c r="H7" s="6">
        <f>INDEX('11_of st. k.'!B4:G29,MATCH(4,B4:B29,0),6)</f>
        <v>-11</v>
      </c>
    </row>
    <row r="8" spans="2:8" x14ac:dyDescent="0.2">
      <c r="B8" s="6">
        <f>RANK('11_of st. k.'!C8,'11_of st. k.'!$C$4:'11_of st. k.'!$C$29,1)+COUNTIF('11_of st. k.'!$C$4:'11_of st. k.'!C8,'11_of st. k.'!C8)-1</f>
        <v>18</v>
      </c>
      <c r="C8" s="5" t="str">
        <f>INDEX('11_of st. k.'!B4:G29,MATCH(5,B4:B29,0),1)</f>
        <v>Krosno</v>
      </c>
      <c r="D8" s="6">
        <f>INDEX('11_of st. k.'!B4:G29,MATCH(5,B4:B29,0),2)</f>
        <v>29</v>
      </c>
      <c r="E8" s="61">
        <f>INDEX('11_of st. k.'!B4:G29,MATCH(5,B4:B29,0),3)</f>
        <v>52</v>
      </c>
      <c r="F8" s="6">
        <f>INDEX('11_of st. k.'!B4:G29,MATCH(5,B4:B29,0),4)</f>
        <v>-23</v>
      </c>
      <c r="G8" s="61">
        <f>INDEX('11_of st. k.'!B4:G29,MATCH(5,B4:B29,0),5)</f>
        <v>81</v>
      </c>
      <c r="H8" s="6">
        <f>INDEX('11_of st. k.'!B4:G29,MATCH(5,B4:B29,0),6)</f>
        <v>-52</v>
      </c>
    </row>
    <row r="9" spans="2:8" x14ac:dyDescent="0.2">
      <c r="B9" s="6">
        <f>RANK('11_of st. k.'!C9,'11_of st. k.'!$C$4:'11_of st. k.'!$C$29,1)+COUNTIF('11_of st. k.'!$C$4:'11_of st. k.'!C9,'11_of st. k.'!C9)-1</f>
        <v>9</v>
      </c>
      <c r="C9" s="5" t="str">
        <f>INDEX('11_of st. k.'!B4:G29,MATCH(6,B4:B29,0),1)</f>
        <v>Przemyśl</v>
      </c>
      <c r="D9" s="6">
        <f>INDEX('11_of st. k.'!B4:G29,MATCH(6,B4:B29,0),2)</f>
        <v>30</v>
      </c>
      <c r="E9" s="61">
        <f>INDEX('11_of st. k.'!B4:G29,MATCH(6,B4:B29,0),3)</f>
        <v>36</v>
      </c>
      <c r="F9" s="6">
        <f>INDEX('11_of st. k.'!B4:G29,MATCH(6,B4:B29,0),4)</f>
        <v>-6</v>
      </c>
      <c r="G9" s="61">
        <f>INDEX('11_of st. k.'!B4:G29,MATCH(6,B4:B29,0),5)</f>
        <v>47</v>
      </c>
      <c r="H9" s="6">
        <f>INDEX('11_of st. k.'!B4:G29,MATCH(6,B4:B29,0),6)</f>
        <v>-17</v>
      </c>
    </row>
    <row r="10" spans="2:8" x14ac:dyDescent="0.2">
      <c r="B10" s="6">
        <f>RANK('11_of st. k.'!C10,'11_of st. k.'!$C$4:'11_of st. k.'!$C$29,1)+COUNTIF('11_of st. k.'!$C$4:'11_of st. k.'!C10,'11_of st. k.'!C10)-1</f>
        <v>11</v>
      </c>
      <c r="C10" s="9" t="str">
        <f>INDEX('11_of st. k.'!B4:G29,MATCH(7,B4:B29,0),1)</f>
        <v>stalowowolski</v>
      </c>
      <c r="D10" s="6">
        <f>INDEX('11_of st. k.'!B4:G29,MATCH(7,B4:B29,0),2)</f>
        <v>32</v>
      </c>
      <c r="E10" s="61">
        <f>INDEX('11_of st. k.'!B4:G29,MATCH(7,B4:B29,0),3)</f>
        <v>67</v>
      </c>
      <c r="F10" s="6">
        <f>INDEX('11_of st. k.'!B4:G29,MATCH(7,B4:B29,0),4)</f>
        <v>-35</v>
      </c>
      <c r="G10" s="61">
        <f>INDEX('11_of st. k.'!B4:G29,MATCH(7,B4:B29,0),5)</f>
        <v>115</v>
      </c>
      <c r="H10" s="6">
        <f>INDEX('11_of st. k.'!B4:G29,MATCH(7,B4:B29,0),6)</f>
        <v>-83</v>
      </c>
    </row>
    <row r="11" spans="2:8" x14ac:dyDescent="0.2">
      <c r="B11" s="6">
        <f>RANK('11_of st. k.'!C11,'11_of st. k.'!$C$4:'11_of st. k.'!$C$29,1)+COUNTIF('11_of st. k.'!$C$4:'11_of st. k.'!C11,'11_of st. k.'!C11)-1</f>
        <v>3</v>
      </c>
      <c r="C11" s="5" t="str">
        <f>INDEX('11_of st. k.'!B4:G29,MATCH(8,B4:B29,0),1)</f>
        <v xml:space="preserve">tarnobrzeski </v>
      </c>
      <c r="D11" s="6">
        <f>INDEX('11_of st. k.'!B4:G29,MATCH(8,B4:B29,0),2)</f>
        <v>56</v>
      </c>
      <c r="E11" s="61">
        <f>INDEX('11_of st. k.'!B4:G29,MATCH(8,B4:B29,0),3)</f>
        <v>53</v>
      </c>
      <c r="F11" s="6">
        <f>INDEX('11_of st. k.'!B4:G29,MATCH(8,B4:B29,0),4)</f>
        <v>3</v>
      </c>
      <c r="G11" s="61">
        <f>INDEX('11_of st. k.'!B4:G29,MATCH(8,B4:B29,0),5)</f>
        <v>118</v>
      </c>
      <c r="H11" s="6">
        <f>INDEX('11_of st. k.'!B4:G29,MATCH(8,B4:B29,0),6)</f>
        <v>-62</v>
      </c>
    </row>
    <row r="12" spans="2:8" x14ac:dyDescent="0.2">
      <c r="B12" s="6">
        <f>RANK('11_of st. k.'!C12,'11_of st. k.'!$C$4:'11_of st. k.'!$C$29,1)+COUNTIF('11_of st. k.'!$C$4:'11_of st. k.'!C12,'11_of st. k.'!C12)-1</f>
        <v>16</v>
      </c>
      <c r="C12" s="5" t="str">
        <f>INDEX('11_of st. k.'!B4:G29,MATCH(9,B4:B29,0),1)</f>
        <v>kolbuszowski</v>
      </c>
      <c r="D12" s="6">
        <f>INDEX('11_of st. k.'!B4:G29,MATCH(9,B4:B29,0),2)</f>
        <v>64</v>
      </c>
      <c r="E12" s="61">
        <f>INDEX('11_of st. k.'!B4:G29,MATCH(9,B4:B29,0),3)</f>
        <v>79</v>
      </c>
      <c r="F12" s="6">
        <f>INDEX('11_of st. k.'!B4:G29,MATCH(9,B4:B29,0),4)</f>
        <v>-15</v>
      </c>
      <c r="G12" s="61">
        <f>INDEX('11_of st. k.'!B4:G29,MATCH(9,B4:B29,0),5)</f>
        <v>83</v>
      </c>
      <c r="H12" s="6">
        <f>INDEX('11_of st. k.'!B4:G29,MATCH(9,B4:B29,0),6)</f>
        <v>-19</v>
      </c>
    </row>
    <row r="13" spans="2:8" x14ac:dyDescent="0.2">
      <c r="B13" s="6">
        <f>RANK('11_of st. k.'!C13,'11_of st. k.'!$C$4:'11_of st. k.'!$C$29,1)+COUNTIF('11_of st. k.'!$C$4:'11_of st. k.'!C13,'11_of st. k.'!C13)-1</f>
        <v>10</v>
      </c>
      <c r="C13" s="5" t="str">
        <f>INDEX('11_of st. k.'!B4:G29,MATCH(10,B4:B29,0),1)</f>
        <v>lubaczowski</v>
      </c>
      <c r="D13" s="6">
        <f>INDEX('11_of st. k.'!B4:G29,MATCH(10,B4:B29,0),2)</f>
        <v>64</v>
      </c>
      <c r="E13" s="61">
        <f>INDEX('11_of st. k.'!B4:G29,MATCH(10,B4:B29,0),3)</f>
        <v>59</v>
      </c>
      <c r="F13" s="6">
        <f>INDEX('11_of st. k.'!B4:G29,MATCH(10,B4:B29,0),4)</f>
        <v>5</v>
      </c>
      <c r="G13" s="61">
        <f>INDEX('11_of st. k.'!B4:G29,MATCH(10,B4:B29,0),5)</f>
        <v>61</v>
      </c>
      <c r="H13" s="6">
        <f>INDEX('11_of st. k.'!B4:G29,MATCH(10,B4:B29,0),6)</f>
        <v>3</v>
      </c>
    </row>
    <row r="14" spans="2:8" x14ac:dyDescent="0.2">
      <c r="B14" s="6">
        <f>RANK('11_of st. k.'!C14,'11_of st. k.'!$C$4:'11_of st. k.'!$C$29,1)+COUNTIF('11_of st. k.'!$C$4:'11_of st. k.'!C14,'11_of st. k.'!C14)-1</f>
        <v>15</v>
      </c>
      <c r="C14" s="5" t="str">
        <f>INDEX('11_of st. k.'!B4:G29,MATCH(11,B4:B29,0),1)</f>
        <v>krośnieński</v>
      </c>
      <c r="D14" s="6">
        <f>INDEX('11_of st. k.'!B4:G29,MATCH(11,B4:B29,0),2)</f>
        <v>70</v>
      </c>
      <c r="E14" s="61">
        <f>INDEX('11_of st. k.'!B4:G29,MATCH(11,B4:B29,0),3)</f>
        <v>107</v>
      </c>
      <c r="F14" s="6">
        <f>INDEX('11_of st. k.'!B4:G29,MATCH(11,B4:B29,0),4)</f>
        <v>-37</v>
      </c>
      <c r="G14" s="61">
        <f>INDEX('11_of st. k.'!B4:G29,MATCH(11,B4:B29,0),5)</f>
        <v>85</v>
      </c>
      <c r="H14" s="6">
        <f>INDEX('11_of st. k.'!B4:G29,MATCH(11,B4:B29,0),6)</f>
        <v>-15</v>
      </c>
    </row>
    <row r="15" spans="2:8" x14ac:dyDescent="0.2">
      <c r="B15" s="6">
        <f>RANK('11_of st. k.'!C15,'11_of st. k.'!$C$4:'11_of st. k.'!$C$29,1)+COUNTIF('11_of st. k.'!$C$4:'11_of st. k.'!C15,'11_of st. k.'!C15)-1</f>
        <v>24</v>
      </c>
      <c r="C15" s="5" t="str">
        <f>INDEX('11_of st. k.'!B4:G29,MATCH(12,B4:B29,0),1)</f>
        <v>ropczycko-sędziszowski</v>
      </c>
      <c r="D15" s="6">
        <f>INDEX('11_of st. k.'!B4:G29,MATCH(12,B4:B29,0),2)</f>
        <v>75</v>
      </c>
      <c r="E15" s="61">
        <f>INDEX('11_of st. k.'!B4:G29,MATCH(12,B4:B29,0),3)</f>
        <v>56</v>
      </c>
      <c r="F15" s="6">
        <f>INDEX('11_of st. k.'!B4:G29,MATCH(12,B4:B29,0),4)</f>
        <v>19</v>
      </c>
      <c r="G15" s="61">
        <f>INDEX('11_of st. k.'!B4:G29,MATCH(12,B4:B29,0),5)</f>
        <v>104</v>
      </c>
      <c r="H15" s="6">
        <f>INDEX('11_of st. k.'!B4:G29,MATCH(12,B4:B29,0),6)</f>
        <v>-29</v>
      </c>
    </row>
    <row r="16" spans="2:8" x14ac:dyDescent="0.2">
      <c r="B16" s="6">
        <f>RANK('11_of st. k.'!C16,'11_of st. k.'!$C$4:'11_of st. k.'!$C$29,1)+COUNTIF('11_of st. k.'!$C$4:'11_of st. k.'!C16,'11_of st. k.'!C16)-1</f>
        <v>17</v>
      </c>
      <c r="C16" s="5" t="str">
        <f>INDEX('11_of st. k.'!B4:G29,MATCH(13,B4:B29,0),1)</f>
        <v>Tarnobrzeg</v>
      </c>
      <c r="D16" s="6">
        <f>INDEX('11_of st. k.'!B4:G29,MATCH(13,B4:B29,0),2)</f>
        <v>81</v>
      </c>
      <c r="E16" s="61">
        <f>INDEX('11_of st. k.'!B4:G29,MATCH(13,B4:B29,0),3)</f>
        <v>50</v>
      </c>
      <c r="F16" s="6">
        <f>INDEX('11_of st. k.'!B4:G29,MATCH(13,B4:B29,0),4)</f>
        <v>31</v>
      </c>
      <c r="G16" s="61">
        <f>INDEX('11_of st. k.'!B4:G29,MATCH(13,B4:B29,0),5)</f>
        <v>100</v>
      </c>
      <c r="H16" s="6">
        <f>INDEX('11_of st. k.'!B4:G29,MATCH(13,B4:B29,0),6)</f>
        <v>-19</v>
      </c>
    </row>
    <row r="17" spans="2:8" x14ac:dyDescent="0.2">
      <c r="B17" s="6">
        <f>RANK('11_of st. k.'!C17,'11_of st. k.'!$C$4:'11_of st. k.'!$C$29,1)+COUNTIF('11_of st. k.'!$C$4:'11_of st. k.'!C17,'11_of st. k.'!C17)-1</f>
        <v>2</v>
      </c>
      <c r="C17" s="5" t="str">
        <f>INDEX('11_of st. k.'!B4:G29,MATCH(14,B4:B29,0),1)</f>
        <v>rzeszowski</v>
      </c>
      <c r="D17" s="6">
        <f>INDEX('11_of st. k.'!B4:G29,MATCH(14,B4:B29,0),2)</f>
        <v>87</v>
      </c>
      <c r="E17" s="61">
        <f>INDEX('11_of st. k.'!B4:G29,MATCH(14,B4:B29,0),3)</f>
        <v>87</v>
      </c>
      <c r="F17" s="6">
        <f>INDEX('11_of st. k.'!B4:G29,MATCH(14,B4:B29,0),4)</f>
        <v>0</v>
      </c>
      <c r="G17" s="61">
        <f>INDEX('11_of st. k.'!B4:G29,MATCH(14,B4:B29,0),5)</f>
        <v>161</v>
      </c>
      <c r="H17" s="6">
        <f>INDEX('11_of st. k.'!B4:G29,MATCH(14,B4:B29,0),6)</f>
        <v>-74</v>
      </c>
    </row>
    <row r="18" spans="2:8" x14ac:dyDescent="0.2">
      <c r="B18" s="6">
        <f>RANK('11_of st. k.'!C18,'11_of st. k.'!$C$4:'11_of st. k.'!$C$29,1)+COUNTIF('11_of st. k.'!$C$4:'11_of st. k.'!C18,'11_of st. k.'!C18)-1</f>
        <v>21</v>
      </c>
      <c r="C18" s="5" t="str">
        <f>INDEX('11_of st. k.'!B4:G29,MATCH(15,B4:B29,0),1)</f>
        <v>łańcucki</v>
      </c>
      <c r="D18" s="6">
        <f>INDEX('11_of st. k.'!B4:G29,MATCH(15,B4:B29,0),2)</f>
        <v>94</v>
      </c>
      <c r="E18" s="61">
        <f>INDEX('11_of st. k.'!B4:G29,MATCH(15,B4:B29,0),3)</f>
        <v>101</v>
      </c>
      <c r="F18" s="6">
        <f>INDEX('11_of st. k.'!B4:G29,MATCH(15,B4:B29,0),4)</f>
        <v>-7</v>
      </c>
      <c r="G18" s="61">
        <f>INDEX('11_of st. k.'!B4:G29,MATCH(15,B4:B29,0),5)</f>
        <v>67</v>
      </c>
      <c r="H18" s="6">
        <f>INDEX('11_of st. k.'!B4:G29,MATCH(15,B4:B29,0),6)</f>
        <v>27</v>
      </c>
    </row>
    <row r="19" spans="2:8" x14ac:dyDescent="0.2">
      <c r="B19" s="6">
        <f>RANK('11_of st. k.'!C19,'11_of st. k.'!$C$4:'11_of st. k.'!$C$29,1)+COUNTIF('11_of st. k.'!$C$4:'11_of st. k.'!C19,'11_of st. k.'!C19)-1</f>
        <v>12</v>
      </c>
      <c r="C19" s="5" t="str">
        <f>INDEX('11_of st. k.'!B4:G29,MATCH(16,B4:B29,0),1)</f>
        <v>leżajski</v>
      </c>
      <c r="D19" s="6">
        <f>INDEX('11_of st. k.'!B4:G29,MATCH(16,B4:B29,0),2)</f>
        <v>95</v>
      </c>
      <c r="E19" s="61">
        <f>INDEX('11_of st. k.'!B4:G29,MATCH(16,B4:B29,0),3)</f>
        <v>73</v>
      </c>
      <c r="F19" s="6">
        <f>INDEX('11_of st. k.'!B4:G29,MATCH(16,B4:B29,0),4)</f>
        <v>22</v>
      </c>
      <c r="G19" s="61">
        <f>INDEX('11_of st. k.'!B4:G29,MATCH(16,B4:B29,0),5)</f>
        <v>36</v>
      </c>
      <c r="H19" s="6">
        <f>INDEX('11_of st. k.'!B4:G29,MATCH(16,B4:B29,0),6)</f>
        <v>59</v>
      </c>
    </row>
    <row r="20" spans="2:8" x14ac:dyDescent="0.2">
      <c r="B20" s="6">
        <f>RANK('11_of st. k.'!C20,'11_of st. k.'!$C$4:'11_of st. k.'!$C$29,1)+COUNTIF('11_of st. k.'!$C$4:'11_of st. k.'!C20,'11_of st. k.'!C20)-1</f>
        <v>14</v>
      </c>
      <c r="C20" s="5" t="str">
        <f>INDEX('11_of st. k.'!B4:G29,MATCH(17,B4:B29,0),1)</f>
        <v>niżański</v>
      </c>
      <c r="D20" s="6">
        <f>INDEX('11_of st. k.'!B4:G29,MATCH(17,B4:B29,0),2)</f>
        <v>113</v>
      </c>
      <c r="E20" s="61">
        <f>INDEX('11_of st. k.'!B4:G29,MATCH(17,B4:B29,0),3)</f>
        <v>72</v>
      </c>
      <c r="F20" s="6">
        <f>INDEX('11_of st. k.'!B4:G29,MATCH(17,B4:B29,0),4)</f>
        <v>41</v>
      </c>
      <c r="G20" s="61">
        <f>INDEX('11_of st. k.'!B4:G29,MATCH(17,B4:B29,0),5)</f>
        <v>81</v>
      </c>
      <c r="H20" s="6">
        <f>INDEX('11_of st. k.'!B4:G29,MATCH(17,B4:B29,0),6)</f>
        <v>32</v>
      </c>
    </row>
    <row r="21" spans="2:8" x14ac:dyDescent="0.2">
      <c r="B21" s="6">
        <f>RANK('11_of st. k.'!C21,'11_of st. k.'!$C$4:'11_of st. k.'!$C$29,1)+COUNTIF('11_of st. k.'!$C$4:'11_of st. k.'!C21,'11_of st. k.'!C21)-1</f>
        <v>22</v>
      </c>
      <c r="C21" s="5" t="str">
        <f>INDEX('11_of st. k.'!B4:G29,MATCH(18,B4:B29,0),1)</f>
        <v>jasielski</v>
      </c>
      <c r="D21" s="6">
        <f>INDEX('11_of st. k.'!B4:G29,MATCH(18,B4:B29,0),2)</f>
        <v>128</v>
      </c>
      <c r="E21" s="61">
        <f>INDEX('11_of st. k.'!B4:G29,MATCH(18,B4:B29,0),3)</f>
        <v>159</v>
      </c>
      <c r="F21" s="6">
        <f>INDEX('11_of st. k.'!B4:G29,MATCH(18,B4:B29,0),4)</f>
        <v>-31</v>
      </c>
      <c r="G21" s="61">
        <f>INDEX('11_of st. k.'!B4:G29,MATCH(18,B4:B29,0),5)</f>
        <v>144</v>
      </c>
      <c r="H21" s="6">
        <f>INDEX('11_of st. k.'!B4:G29,MATCH(18,B4:B29,0),6)</f>
        <v>-16</v>
      </c>
    </row>
    <row r="22" spans="2:8" x14ac:dyDescent="0.2">
      <c r="B22" s="6">
        <f>RANK('11_of st. k.'!C22,'11_of st. k.'!$C$4:'11_of st. k.'!$C$29,1)+COUNTIF('11_of st. k.'!$C$4:'11_of st. k.'!C22,'11_of st. k.'!C22)-1</f>
        <v>7</v>
      </c>
      <c r="C22" s="5" t="str">
        <f>INDEX('11_of st. k.'!B4:G29,MATCH(19,B4:B29,0),1)</f>
        <v>jarosławski</v>
      </c>
      <c r="D22" s="6">
        <f>INDEX('11_of st. k.'!B4:G29,MATCH(19,B4:B29,0),2)</f>
        <v>131</v>
      </c>
      <c r="E22" s="61">
        <f>INDEX('11_of st. k.'!B4:G29,MATCH(19,B4:B29,0),3)</f>
        <v>132</v>
      </c>
      <c r="F22" s="6">
        <f>INDEX('11_of st. k.'!B4:G29,MATCH(19,B4:B29,0),4)</f>
        <v>-1</v>
      </c>
      <c r="G22" s="61">
        <f>INDEX('11_of st. k.'!B4:G29,MATCH(19,B4:B29,0),5)</f>
        <v>137</v>
      </c>
      <c r="H22" s="6">
        <f>INDEX('11_of st. k.'!B4:G29,MATCH(19,B4:B29,0),6)</f>
        <v>-6</v>
      </c>
    </row>
    <row r="23" spans="2:8" x14ac:dyDescent="0.2">
      <c r="B23" s="6">
        <f>RANK('11_of st. k.'!C23,'11_of st. k.'!$C$4:'11_of st. k.'!$C$29,1)+COUNTIF('11_of st. k.'!$C$4:'11_of st. k.'!C23,'11_of st. k.'!C23)-1</f>
        <v>20</v>
      </c>
      <c r="C23" s="5" t="str">
        <f>INDEX('11_of st. k.'!B4:G29,MATCH(20,B4:B29,0),1)</f>
        <v>strzyżowski</v>
      </c>
      <c r="D23" s="6">
        <f>INDEX('11_of st. k.'!B4:G29,MATCH(20,B4:B29,0),2)</f>
        <v>136</v>
      </c>
      <c r="E23" s="61">
        <f>INDEX('11_of st. k.'!B4:G29,MATCH(20,B4:B29,0),3)</f>
        <v>109</v>
      </c>
      <c r="F23" s="6">
        <f>INDEX('11_of st. k.'!B4:G29,MATCH(20,B4:B29,0),4)</f>
        <v>27</v>
      </c>
      <c r="G23" s="61">
        <f>INDEX('11_of st. k.'!B4:G29,MATCH(20,B4:B29,0),5)</f>
        <v>165</v>
      </c>
      <c r="H23" s="6">
        <f>INDEX('11_of st. k.'!B4:G29,MATCH(20,B4:B29,0),6)</f>
        <v>-29</v>
      </c>
    </row>
    <row r="24" spans="2:8" x14ac:dyDescent="0.2">
      <c r="B24" s="6">
        <f>RANK('11_of st. k.'!C24,'11_of st. k.'!$C$4:'11_of st. k.'!$C$29,1)+COUNTIF('11_of st. k.'!$C$4:'11_of st. k.'!C24,'11_of st. k.'!C24)-1</f>
        <v>8</v>
      </c>
      <c r="C24" s="5" t="str">
        <f>INDEX('11_of st. k.'!B4:G29,MATCH(21,B4:B29,0),1)</f>
        <v>przeworski</v>
      </c>
      <c r="D24" s="6">
        <f>INDEX('11_of st. k.'!B4:G29,MATCH(21,B4:B29,0),2)</f>
        <v>150</v>
      </c>
      <c r="E24" s="61">
        <f>INDEX('11_of st. k.'!B4:G29,MATCH(21,B4:B29,0),3)</f>
        <v>127</v>
      </c>
      <c r="F24" s="6">
        <f>INDEX('11_of st. k.'!B4:G29,MATCH(21,B4:B29,0),4)</f>
        <v>23</v>
      </c>
      <c r="G24" s="61">
        <f>INDEX('11_of st. k.'!B4:G29,MATCH(21,B4:B29,0),5)</f>
        <v>218</v>
      </c>
      <c r="H24" s="6">
        <f>INDEX('11_of st. k.'!B4:G29,MATCH(21,B4:B29,0),6)</f>
        <v>-68</v>
      </c>
    </row>
    <row r="25" spans="2:8" x14ac:dyDescent="0.2">
      <c r="B25" s="6">
        <f>RANK('11_of st. k.'!C25,'11_of st. k.'!$C$4:'11_of st. k.'!$C$29,1)+COUNTIF('11_of st. k.'!$C$4:'11_of st. k.'!C25,'11_of st. k.'!C25)-1</f>
        <v>5</v>
      </c>
      <c r="C25" s="5" t="str">
        <f>INDEX('11_of st. k.'!B4:G29,MATCH(22,B4:B29,0),1)</f>
        <v>sanocki</v>
      </c>
      <c r="D25" s="6">
        <f>INDEX('11_of st. k.'!B4:G29,MATCH(22,B4:B29,0),2)</f>
        <v>150</v>
      </c>
      <c r="E25" s="61">
        <f>INDEX('11_of st. k.'!B4:G29,MATCH(22,B4:B29,0),3)</f>
        <v>50</v>
      </c>
      <c r="F25" s="6">
        <f>INDEX('11_of st. k.'!B4:G29,MATCH(22,B4:B29,0),4)</f>
        <v>100</v>
      </c>
      <c r="G25" s="61">
        <f>INDEX('11_of st. k.'!B4:G29,MATCH(22,B4:B29,0),5)</f>
        <v>57</v>
      </c>
      <c r="H25" s="6">
        <f>INDEX('11_of st. k.'!B4:G29,MATCH(22,B4:B29,0),6)</f>
        <v>93</v>
      </c>
    </row>
    <row r="26" spans="2:8" x14ac:dyDescent="0.2">
      <c r="B26" s="6">
        <f>RANK('11_of st. k.'!C26,'11_of st. k.'!$C$4:'11_of st. k.'!$C$29,1)+COUNTIF('11_of st. k.'!$C$4:'11_of st. k.'!C26,'11_of st. k.'!C26)-1</f>
        <v>6</v>
      </c>
      <c r="C26" s="5" t="str">
        <f>INDEX('11_of st. k.'!B4:G29,MATCH(23,B4:B29,0),1)</f>
        <v>dębicki</v>
      </c>
      <c r="D26" s="6">
        <f>INDEX('11_of st. k.'!B4:G29,MATCH(23,B4:B29,0),2)</f>
        <v>169</v>
      </c>
      <c r="E26" s="61">
        <f>INDEX('11_of st. k.'!B4:G29,MATCH(23,B4:B29,0),3)</f>
        <v>191</v>
      </c>
      <c r="F26" s="6">
        <f>INDEX('11_of st. k.'!B4:G29,MATCH(23,B4:B29,0),4)</f>
        <v>-22</v>
      </c>
      <c r="G26" s="61">
        <f>INDEX('11_of st. k.'!B4:G29,MATCH(23,B4:B29,0),5)</f>
        <v>207</v>
      </c>
      <c r="H26" s="6">
        <f>INDEX('11_of st. k.'!B4:G29,MATCH(23,B4:B29,0),6)</f>
        <v>-38</v>
      </c>
    </row>
    <row r="27" spans="2:8" x14ac:dyDescent="0.2">
      <c r="B27" s="6">
        <f>RANK('11_of st. k.'!C27,'11_of st. k.'!$C$4:'11_of st. k.'!$C$29,1)+COUNTIF('11_of st. k.'!$C$4:'11_of st. k.'!C27,'11_of st. k.'!C27)-1</f>
        <v>25</v>
      </c>
      <c r="C27" s="5" t="str">
        <f>INDEX('11_of st. k.'!B4:G29,MATCH(24,B4:B29,0),1)</f>
        <v>mielecki</v>
      </c>
      <c r="D27" s="6">
        <f>INDEX('11_of st. k.'!B4:G29,MATCH(24,B4:B29,0),2)</f>
        <v>186</v>
      </c>
      <c r="E27" s="61">
        <f>INDEX('11_of st. k.'!B4:G29,MATCH(24,B4:B29,0),3)</f>
        <v>228</v>
      </c>
      <c r="F27" s="6">
        <f>INDEX('11_of st. k.'!B4:G29,MATCH(24,B4:B29,0),4)</f>
        <v>-42</v>
      </c>
      <c r="G27" s="61">
        <f>INDEX('11_of st. k.'!B4:G29,MATCH(24,B4:B29,0),5)</f>
        <v>332</v>
      </c>
      <c r="H27" s="6">
        <f>INDEX('11_of st. k.'!B4:G29,MATCH(24,B4:B29,0),6)</f>
        <v>-146</v>
      </c>
    </row>
    <row r="28" spans="2:8" x14ac:dyDescent="0.2">
      <c r="B28" s="6">
        <f>RANK('11_of st. k.'!C28,'11_of st. k.'!$C$4:'11_of st. k.'!$C$29,1)+COUNTIF('11_of st. k.'!$C$4:'11_of st. k.'!C28,'11_of st. k.'!C28)-1</f>
        <v>13</v>
      </c>
      <c r="C28" s="5" t="str">
        <f>INDEX('11_of st. k.'!B4:G29,MATCH(25,B4:B29,0),1)</f>
        <v>Rzeszów</v>
      </c>
      <c r="D28" s="6">
        <f>INDEX('11_of st. k.'!B4:G29,MATCH(25,B4:B29,0),2)</f>
        <v>327</v>
      </c>
      <c r="E28" s="61">
        <f>INDEX('11_of st. k.'!B4:G29,MATCH(25,B4:B29,0),3)</f>
        <v>298</v>
      </c>
      <c r="F28" s="6">
        <f>INDEX('11_of st. k.'!B4:G29,MATCH(25,B4:B29,0),4)</f>
        <v>29</v>
      </c>
      <c r="G28" s="61">
        <f>INDEX('11_of st. k.'!B4:G29,MATCH(25,B4:B29,0),5)</f>
        <v>660</v>
      </c>
      <c r="H28" s="6">
        <f>INDEX('11_of st. k.'!B4:G29,MATCH(25,B4:B29,0),6)</f>
        <v>-333</v>
      </c>
    </row>
    <row r="29" spans="2:8" ht="15" x14ac:dyDescent="0.25">
      <c r="B29" s="59">
        <f>RANK('11_of st. k.'!C29,'11_of st. k.'!$C$4:'11_of st. k.'!$C$29,1)+COUNTIF('11_of st. k.'!$C$4:'11_of st. k.'!C29,'11_of st. k.'!C29)-1</f>
        <v>26</v>
      </c>
      <c r="C29" s="58" t="str">
        <f>INDEX('11_of st. k.'!B4:G29,MATCH(26,B4:B29,0),1)</f>
        <v>województwo</v>
      </c>
      <c r="D29" s="59">
        <f>INDEX('11_of st. k.'!B4:G29,MATCH(26,B4:B29,0),2)</f>
        <v>2336</v>
      </c>
      <c r="E29" s="63">
        <f>INDEX('11_of st. k.'!B4:G29,MATCH(26,B4:B29,0),3)</f>
        <v>2256</v>
      </c>
      <c r="F29" s="59">
        <f>INDEX('11_of st. k.'!B4:G29,MATCH(26,B4:B29,0),4)</f>
        <v>80</v>
      </c>
      <c r="G29" s="63">
        <f>INDEX('11_of st. k.'!B4:G29,MATCH(26,B4:B29,0),5)</f>
        <v>3162</v>
      </c>
      <c r="H29" s="59">
        <f>INDEX('11_of st. k.'!B4:G29,MATCH(26,B4:B29,0),6)</f>
        <v>-826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B1:L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5.140625" style="3" customWidth="1"/>
    <col min="4" max="4" width="14.57031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.85546875" style="3" customWidth="1"/>
    <col min="10" max="10" width="15.14062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5" t="s">
        <v>27</v>
      </c>
      <c r="C2" s="56" t="s">
        <v>114</v>
      </c>
      <c r="D2" s="57" t="s">
        <v>104</v>
      </c>
      <c r="E2" s="56" t="s">
        <v>28</v>
      </c>
      <c r="F2" s="57" t="s">
        <v>113</v>
      </c>
      <c r="G2" s="56" t="s">
        <v>26</v>
      </c>
      <c r="I2" s="55" t="s">
        <v>27</v>
      </c>
      <c r="J2" s="56" t="str">
        <f>T('1_bezr.'!C2)</f>
        <v>liczba bezrobotnych ogółem stan na 31 III '23 r.</v>
      </c>
      <c r="K2" s="56" t="s">
        <v>78</v>
      </c>
      <c r="L2" s="56" t="s">
        <v>94</v>
      </c>
    </row>
    <row r="3" spans="2:12" x14ac:dyDescent="0.2">
      <c r="B3" s="5" t="s">
        <v>0</v>
      </c>
      <c r="C3" s="6">
        <v>579</v>
      </c>
      <c r="D3" s="61">
        <v>600</v>
      </c>
      <c r="E3" s="6">
        <f t="shared" ref="E3:E26" si="0">SUM(C3)-D3</f>
        <v>-21</v>
      </c>
      <c r="F3" s="61">
        <v>639</v>
      </c>
      <c r="G3" s="6">
        <f t="shared" ref="G3:G26" si="1">SUM(C3)-F3</f>
        <v>-60</v>
      </c>
      <c r="I3" s="5" t="s">
        <v>0</v>
      </c>
      <c r="J3" s="6">
        <f>SUM('1_bezr.'!C3)</f>
        <v>1142</v>
      </c>
      <c r="K3" s="6">
        <f>SUM(C3)</f>
        <v>579</v>
      </c>
      <c r="L3" s="24">
        <f t="shared" ref="L3:L28" si="2">SUM(K3)/J3*100</f>
        <v>50.700525394045535</v>
      </c>
    </row>
    <row r="4" spans="2:12" x14ac:dyDescent="0.2">
      <c r="B4" s="5" t="s">
        <v>1</v>
      </c>
      <c r="C4" s="6">
        <v>2032</v>
      </c>
      <c r="D4" s="61">
        <v>2090</v>
      </c>
      <c r="E4" s="6">
        <f t="shared" si="0"/>
        <v>-58</v>
      </c>
      <c r="F4" s="61">
        <v>2180</v>
      </c>
      <c r="G4" s="6">
        <f t="shared" si="1"/>
        <v>-148</v>
      </c>
      <c r="I4" s="5" t="s">
        <v>1</v>
      </c>
      <c r="J4" s="6">
        <f>SUM('1_bezr.'!C4)</f>
        <v>3977</v>
      </c>
      <c r="K4" s="6">
        <f t="shared" ref="K4:K27" si="3">SUM(C4)</f>
        <v>2032</v>
      </c>
      <c r="L4" s="24">
        <f t="shared" si="2"/>
        <v>51.093789288408352</v>
      </c>
    </row>
    <row r="5" spans="2:12" x14ac:dyDescent="0.2">
      <c r="B5" s="5" t="s">
        <v>2</v>
      </c>
      <c r="C5" s="6">
        <v>1521</v>
      </c>
      <c r="D5" s="61">
        <v>1568</v>
      </c>
      <c r="E5" s="6">
        <f t="shared" si="0"/>
        <v>-47</v>
      </c>
      <c r="F5" s="61">
        <v>1672</v>
      </c>
      <c r="G5" s="6">
        <f t="shared" si="1"/>
        <v>-151</v>
      </c>
      <c r="I5" s="5" t="s">
        <v>2</v>
      </c>
      <c r="J5" s="6">
        <f>SUM('1_bezr.'!C5)</f>
        <v>2536</v>
      </c>
      <c r="K5" s="6">
        <f t="shared" si="3"/>
        <v>1521</v>
      </c>
      <c r="L5" s="24">
        <f t="shared" si="2"/>
        <v>59.976340694006311</v>
      </c>
    </row>
    <row r="6" spans="2:12" x14ac:dyDescent="0.2">
      <c r="B6" s="5" t="s">
        <v>3</v>
      </c>
      <c r="C6" s="6">
        <v>2450</v>
      </c>
      <c r="D6" s="61">
        <v>2548</v>
      </c>
      <c r="E6" s="6">
        <f t="shared" si="0"/>
        <v>-98</v>
      </c>
      <c r="F6" s="61">
        <v>2816</v>
      </c>
      <c r="G6" s="6">
        <f t="shared" si="1"/>
        <v>-366</v>
      </c>
      <c r="I6" s="5" t="s">
        <v>3</v>
      </c>
      <c r="J6" s="6">
        <f>SUM('1_bezr.'!C6)</f>
        <v>4626</v>
      </c>
      <c r="K6" s="6">
        <f t="shared" si="3"/>
        <v>2450</v>
      </c>
      <c r="L6" s="24">
        <f t="shared" si="2"/>
        <v>52.961521833117168</v>
      </c>
    </row>
    <row r="7" spans="2:12" x14ac:dyDescent="0.2">
      <c r="B7" s="5" t="s">
        <v>4</v>
      </c>
      <c r="C7" s="6">
        <v>2851</v>
      </c>
      <c r="D7" s="61">
        <v>2896</v>
      </c>
      <c r="E7" s="6">
        <f t="shared" si="0"/>
        <v>-45</v>
      </c>
      <c r="F7" s="61">
        <v>3097</v>
      </c>
      <c r="G7" s="6">
        <f t="shared" si="1"/>
        <v>-246</v>
      </c>
      <c r="I7" s="5" t="s">
        <v>4</v>
      </c>
      <c r="J7" s="6">
        <f>SUM('1_bezr.'!C7)</f>
        <v>5052</v>
      </c>
      <c r="K7" s="6">
        <f t="shared" si="3"/>
        <v>2851</v>
      </c>
      <c r="L7" s="24">
        <f t="shared" si="2"/>
        <v>56.433095803642118</v>
      </c>
    </row>
    <row r="8" spans="2:12" x14ac:dyDescent="0.2">
      <c r="B8" s="5" t="s">
        <v>5</v>
      </c>
      <c r="C8" s="6">
        <v>842</v>
      </c>
      <c r="D8" s="61">
        <v>861</v>
      </c>
      <c r="E8" s="6">
        <f t="shared" si="0"/>
        <v>-19</v>
      </c>
      <c r="F8" s="61">
        <v>959</v>
      </c>
      <c r="G8" s="6">
        <f t="shared" si="1"/>
        <v>-117</v>
      </c>
      <c r="I8" s="5" t="s">
        <v>5</v>
      </c>
      <c r="J8" s="6">
        <f>SUM('1_bezr.'!C8)</f>
        <v>1672</v>
      </c>
      <c r="K8" s="6">
        <f t="shared" si="3"/>
        <v>842</v>
      </c>
      <c r="L8" s="24">
        <f>SUM(K8)/J8*100</f>
        <v>50.358851674641144</v>
      </c>
    </row>
    <row r="9" spans="2:12" x14ac:dyDescent="0.2">
      <c r="B9" s="9" t="s">
        <v>6</v>
      </c>
      <c r="C9" s="6">
        <v>1204</v>
      </c>
      <c r="D9" s="61">
        <v>1207</v>
      </c>
      <c r="E9" s="6">
        <f t="shared" si="0"/>
        <v>-3</v>
      </c>
      <c r="F9" s="61">
        <v>1158</v>
      </c>
      <c r="G9" s="6">
        <f t="shared" si="1"/>
        <v>46</v>
      </c>
      <c r="I9" s="9" t="s">
        <v>6</v>
      </c>
      <c r="J9" s="6">
        <f>SUM('1_bezr.'!C9)</f>
        <v>2239</v>
      </c>
      <c r="K9" s="6">
        <f t="shared" si="3"/>
        <v>1204</v>
      </c>
      <c r="L9" s="24">
        <f t="shared" si="2"/>
        <v>53.77400625279143</v>
      </c>
    </row>
    <row r="10" spans="2:12" x14ac:dyDescent="0.2">
      <c r="B10" s="5" t="s">
        <v>7</v>
      </c>
      <c r="C10" s="6">
        <v>857</v>
      </c>
      <c r="D10" s="61">
        <v>856</v>
      </c>
      <c r="E10" s="6">
        <f t="shared" si="0"/>
        <v>1</v>
      </c>
      <c r="F10" s="61">
        <v>838</v>
      </c>
      <c r="G10" s="6">
        <f t="shared" si="1"/>
        <v>19</v>
      </c>
      <c r="I10" s="5" t="s">
        <v>7</v>
      </c>
      <c r="J10" s="6">
        <f>SUM('1_bezr.'!C10)</f>
        <v>1804</v>
      </c>
      <c r="K10" s="6">
        <f t="shared" si="3"/>
        <v>857</v>
      </c>
      <c r="L10" s="24">
        <f t="shared" si="2"/>
        <v>47.505543237250549</v>
      </c>
    </row>
    <row r="11" spans="2:12" x14ac:dyDescent="0.2">
      <c r="B11" s="5" t="s">
        <v>8</v>
      </c>
      <c r="C11" s="6">
        <v>1710</v>
      </c>
      <c r="D11" s="61">
        <v>1707</v>
      </c>
      <c r="E11" s="6">
        <f t="shared" si="0"/>
        <v>3</v>
      </c>
      <c r="F11" s="61">
        <v>1831</v>
      </c>
      <c r="G11" s="6">
        <f t="shared" si="1"/>
        <v>-121</v>
      </c>
      <c r="I11" s="5" t="s">
        <v>8</v>
      </c>
      <c r="J11" s="6">
        <f>SUM('1_bezr.'!C11)</f>
        <v>3199</v>
      </c>
      <c r="K11" s="6">
        <f t="shared" si="3"/>
        <v>1710</v>
      </c>
      <c r="L11" s="24">
        <f t="shared" si="2"/>
        <v>53.454204438887153</v>
      </c>
    </row>
    <row r="12" spans="2:12" x14ac:dyDescent="0.2">
      <c r="B12" s="5" t="s">
        <v>9</v>
      </c>
      <c r="C12" s="6">
        <v>871</v>
      </c>
      <c r="D12" s="61">
        <v>891</v>
      </c>
      <c r="E12" s="6">
        <f t="shared" si="0"/>
        <v>-20</v>
      </c>
      <c r="F12" s="61">
        <v>917</v>
      </c>
      <c r="G12" s="6">
        <f t="shared" si="1"/>
        <v>-46</v>
      </c>
      <c r="I12" s="5" t="s">
        <v>9</v>
      </c>
      <c r="J12" s="6">
        <f>SUM('1_bezr.'!C12)</f>
        <v>1882</v>
      </c>
      <c r="K12" s="6">
        <f t="shared" si="3"/>
        <v>871</v>
      </c>
      <c r="L12" s="24">
        <f t="shared" si="2"/>
        <v>46.280552603613181</v>
      </c>
    </row>
    <row r="13" spans="2:12" x14ac:dyDescent="0.2">
      <c r="B13" s="5" t="s">
        <v>10</v>
      </c>
      <c r="C13" s="6">
        <v>1287</v>
      </c>
      <c r="D13" s="61">
        <v>1361</v>
      </c>
      <c r="E13" s="6">
        <f t="shared" si="0"/>
        <v>-74</v>
      </c>
      <c r="F13" s="61">
        <v>1671</v>
      </c>
      <c r="G13" s="6">
        <f t="shared" si="1"/>
        <v>-384</v>
      </c>
      <c r="I13" s="5" t="s">
        <v>10</v>
      </c>
      <c r="J13" s="6">
        <f>SUM('1_bezr.'!C13)</f>
        <v>2671</v>
      </c>
      <c r="K13" s="6">
        <f t="shared" si="3"/>
        <v>1287</v>
      </c>
      <c r="L13" s="24">
        <f t="shared" si="2"/>
        <v>48.184200673904904</v>
      </c>
    </row>
    <row r="14" spans="2:12" x14ac:dyDescent="0.2">
      <c r="B14" s="5" t="s">
        <v>11</v>
      </c>
      <c r="C14" s="6">
        <v>1373</v>
      </c>
      <c r="D14" s="61">
        <v>1425</v>
      </c>
      <c r="E14" s="6">
        <f t="shared" si="0"/>
        <v>-52</v>
      </c>
      <c r="F14" s="61">
        <v>1517</v>
      </c>
      <c r="G14" s="6">
        <f t="shared" si="1"/>
        <v>-144</v>
      </c>
      <c r="I14" s="5" t="s">
        <v>11</v>
      </c>
      <c r="J14" s="6">
        <f>SUM('1_bezr.'!C14)</f>
        <v>2700</v>
      </c>
      <c r="K14" s="6">
        <f t="shared" si="3"/>
        <v>1373</v>
      </c>
      <c r="L14" s="24">
        <f t="shared" si="2"/>
        <v>50.851851851851848</v>
      </c>
    </row>
    <row r="15" spans="2:12" x14ac:dyDescent="0.2">
      <c r="B15" s="5" t="s">
        <v>12</v>
      </c>
      <c r="C15" s="6">
        <v>1637</v>
      </c>
      <c r="D15" s="61">
        <v>1718</v>
      </c>
      <c r="E15" s="6">
        <f t="shared" si="0"/>
        <v>-81</v>
      </c>
      <c r="F15" s="61">
        <v>1763</v>
      </c>
      <c r="G15" s="6">
        <f t="shared" si="1"/>
        <v>-126</v>
      </c>
      <c r="I15" s="5" t="s">
        <v>12</v>
      </c>
      <c r="J15" s="6">
        <f>SUM('1_bezr.'!C15)</f>
        <v>3156</v>
      </c>
      <c r="K15" s="6">
        <f t="shared" si="3"/>
        <v>1637</v>
      </c>
      <c r="L15" s="24">
        <f t="shared" si="2"/>
        <v>51.869455006337141</v>
      </c>
    </row>
    <row r="16" spans="2:12" x14ac:dyDescent="0.2">
      <c r="B16" s="5" t="s">
        <v>13</v>
      </c>
      <c r="C16" s="6">
        <v>1581</v>
      </c>
      <c r="D16" s="61">
        <v>1631</v>
      </c>
      <c r="E16" s="6">
        <f t="shared" si="0"/>
        <v>-50</v>
      </c>
      <c r="F16" s="61">
        <v>1841</v>
      </c>
      <c r="G16" s="6">
        <f t="shared" si="1"/>
        <v>-260</v>
      </c>
      <c r="I16" s="5" t="s">
        <v>13</v>
      </c>
      <c r="J16" s="6">
        <f>SUM('1_bezr.'!C16)</f>
        <v>3053</v>
      </c>
      <c r="K16" s="6">
        <f t="shared" si="3"/>
        <v>1581</v>
      </c>
      <c r="L16" s="24">
        <f t="shared" si="2"/>
        <v>51.78512938093678</v>
      </c>
    </row>
    <row r="17" spans="2:12" x14ac:dyDescent="0.2">
      <c r="B17" s="5" t="s">
        <v>14</v>
      </c>
      <c r="C17" s="6">
        <v>1969</v>
      </c>
      <c r="D17" s="61">
        <v>1953</v>
      </c>
      <c r="E17" s="6">
        <f t="shared" si="0"/>
        <v>16</v>
      </c>
      <c r="F17" s="61">
        <v>2155</v>
      </c>
      <c r="G17" s="6">
        <f t="shared" si="1"/>
        <v>-186</v>
      </c>
      <c r="I17" s="5" t="s">
        <v>14</v>
      </c>
      <c r="J17" s="6">
        <f>SUM('1_bezr.'!C17)</f>
        <v>3593</v>
      </c>
      <c r="K17" s="6">
        <f t="shared" si="3"/>
        <v>1969</v>
      </c>
      <c r="L17" s="24">
        <f t="shared" si="2"/>
        <v>54.801001948232674</v>
      </c>
    </row>
    <row r="18" spans="2:12" x14ac:dyDescent="0.2">
      <c r="B18" s="5" t="s">
        <v>15</v>
      </c>
      <c r="C18" s="6">
        <v>1480</v>
      </c>
      <c r="D18" s="61">
        <v>1509</v>
      </c>
      <c r="E18" s="6">
        <f t="shared" si="0"/>
        <v>-29</v>
      </c>
      <c r="F18" s="61">
        <v>1805</v>
      </c>
      <c r="G18" s="6">
        <f t="shared" si="1"/>
        <v>-325</v>
      </c>
      <c r="I18" s="5" t="s">
        <v>15</v>
      </c>
      <c r="J18" s="6">
        <f>SUM('1_bezr.'!C18)</f>
        <v>2763</v>
      </c>
      <c r="K18" s="6">
        <f t="shared" si="3"/>
        <v>1480</v>
      </c>
      <c r="L18" s="24">
        <f t="shared" si="2"/>
        <v>53.564965617082883</v>
      </c>
    </row>
    <row r="19" spans="2:12" x14ac:dyDescent="0.2">
      <c r="B19" s="5" t="s">
        <v>16</v>
      </c>
      <c r="C19" s="6">
        <v>2427</v>
      </c>
      <c r="D19" s="61">
        <v>2571</v>
      </c>
      <c r="E19" s="6">
        <f t="shared" si="0"/>
        <v>-144</v>
      </c>
      <c r="F19" s="61">
        <v>2790</v>
      </c>
      <c r="G19" s="6">
        <f t="shared" si="1"/>
        <v>-363</v>
      </c>
      <c r="I19" s="5" t="s">
        <v>16</v>
      </c>
      <c r="J19" s="6">
        <f>SUM('1_bezr.'!C19)</f>
        <v>4917</v>
      </c>
      <c r="K19" s="6">
        <f t="shared" si="3"/>
        <v>2427</v>
      </c>
      <c r="L19" s="24">
        <f t="shared" si="2"/>
        <v>49.359365466748017</v>
      </c>
    </row>
    <row r="20" spans="2:12" x14ac:dyDescent="0.2">
      <c r="B20" s="5" t="s">
        <v>17</v>
      </c>
      <c r="C20" s="6">
        <v>1411</v>
      </c>
      <c r="D20" s="61">
        <v>1422</v>
      </c>
      <c r="E20" s="6">
        <f t="shared" si="0"/>
        <v>-11</v>
      </c>
      <c r="F20" s="61">
        <v>1309</v>
      </c>
      <c r="G20" s="6">
        <f t="shared" si="1"/>
        <v>102</v>
      </c>
      <c r="I20" s="5" t="s">
        <v>17</v>
      </c>
      <c r="J20" s="6">
        <f>SUM('1_bezr.'!C20)</f>
        <v>2802</v>
      </c>
      <c r="K20" s="6">
        <f t="shared" si="3"/>
        <v>1411</v>
      </c>
      <c r="L20" s="24">
        <f t="shared" si="2"/>
        <v>50.356887937187722</v>
      </c>
    </row>
    <row r="21" spans="2:12" x14ac:dyDescent="0.2">
      <c r="B21" s="5" t="s">
        <v>18</v>
      </c>
      <c r="C21" s="6">
        <v>1091</v>
      </c>
      <c r="D21" s="61">
        <v>1089</v>
      </c>
      <c r="E21" s="6">
        <f t="shared" si="0"/>
        <v>2</v>
      </c>
      <c r="F21" s="61">
        <v>1225</v>
      </c>
      <c r="G21" s="6">
        <f t="shared" si="1"/>
        <v>-134</v>
      </c>
      <c r="I21" s="5" t="s">
        <v>18</v>
      </c>
      <c r="J21" s="6">
        <f>SUM('1_bezr.'!C21)</f>
        <v>2007</v>
      </c>
      <c r="K21" s="6">
        <f t="shared" si="3"/>
        <v>1091</v>
      </c>
      <c r="L21" s="24">
        <f t="shared" si="2"/>
        <v>54.359740906826104</v>
      </c>
    </row>
    <row r="22" spans="2:12" x14ac:dyDescent="0.2">
      <c r="B22" s="5" t="s">
        <v>19</v>
      </c>
      <c r="C22" s="6">
        <v>1690</v>
      </c>
      <c r="D22" s="61">
        <v>1749</v>
      </c>
      <c r="E22" s="6">
        <f t="shared" si="0"/>
        <v>-59</v>
      </c>
      <c r="F22" s="61">
        <v>1846</v>
      </c>
      <c r="G22" s="6">
        <f t="shared" si="1"/>
        <v>-156</v>
      </c>
      <c r="I22" s="5" t="s">
        <v>19</v>
      </c>
      <c r="J22" s="6">
        <f>SUM('1_bezr.'!C22)</f>
        <v>3311</v>
      </c>
      <c r="K22" s="6">
        <f t="shared" si="3"/>
        <v>1690</v>
      </c>
      <c r="L22" s="24">
        <f t="shared" si="2"/>
        <v>51.041981274539417</v>
      </c>
    </row>
    <row r="23" spans="2:12" x14ac:dyDescent="0.2">
      <c r="B23" s="5" t="s">
        <v>20</v>
      </c>
      <c r="C23" s="6">
        <v>699</v>
      </c>
      <c r="D23" s="61">
        <v>737</v>
      </c>
      <c r="E23" s="6">
        <f t="shared" si="0"/>
        <v>-38</v>
      </c>
      <c r="F23" s="61">
        <v>827</v>
      </c>
      <c r="G23" s="6">
        <f t="shared" si="1"/>
        <v>-128</v>
      </c>
      <c r="I23" s="5" t="s">
        <v>20</v>
      </c>
      <c r="J23" s="6">
        <f>SUM('1_bezr.'!C23)</f>
        <v>1325</v>
      </c>
      <c r="K23" s="6">
        <f t="shared" si="3"/>
        <v>699</v>
      </c>
      <c r="L23" s="24">
        <f t="shared" si="2"/>
        <v>52.754716981132077</v>
      </c>
    </row>
    <row r="24" spans="2:12" x14ac:dyDescent="0.2">
      <c r="B24" s="5" t="s">
        <v>21</v>
      </c>
      <c r="C24" s="6">
        <v>412</v>
      </c>
      <c r="D24" s="61">
        <v>436</v>
      </c>
      <c r="E24" s="6">
        <f t="shared" si="0"/>
        <v>-24</v>
      </c>
      <c r="F24" s="61">
        <v>447</v>
      </c>
      <c r="G24" s="6">
        <f t="shared" si="1"/>
        <v>-35</v>
      </c>
      <c r="I24" s="5" t="s">
        <v>21</v>
      </c>
      <c r="J24" s="6">
        <f>SUM('1_bezr.'!C24)</f>
        <v>778</v>
      </c>
      <c r="K24" s="6">
        <f t="shared" si="3"/>
        <v>412</v>
      </c>
      <c r="L24" s="24">
        <f t="shared" si="2"/>
        <v>52.956298200514141</v>
      </c>
    </row>
    <row r="25" spans="2:12" x14ac:dyDescent="0.2">
      <c r="B25" s="5" t="s">
        <v>22</v>
      </c>
      <c r="C25" s="6">
        <v>1208</v>
      </c>
      <c r="D25" s="61">
        <v>1229</v>
      </c>
      <c r="E25" s="6">
        <f t="shared" si="0"/>
        <v>-21</v>
      </c>
      <c r="F25" s="61">
        <v>1447</v>
      </c>
      <c r="G25" s="6">
        <f t="shared" si="1"/>
        <v>-239</v>
      </c>
      <c r="I25" s="5" t="s">
        <v>22</v>
      </c>
      <c r="J25" s="6">
        <f>SUM('1_bezr.'!C25)</f>
        <v>2516</v>
      </c>
      <c r="K25" s="6">
        <f t="shared" si="3"/>
        <v>1208</v>
      </c>
      <c r="L25" s="24">
        <f t="shared" si="2"/>
        <v>48.012718600953896</v>
      </c>
    </row>
    <row r="26" spans="2:12" x14ac:dyDescent="0.2">
      <c r="B26" s="5" t="s">
        <v>23</v>
      </c>
      <c r="C26" s="6">
        <v>2811</v>
      </c>
      <c r="D26" s="61">
        <v>2829</v>
      </c>
      <c r="E26" s="6">
        <f t="shared" si="0"/>
        <v>-18</v>
      </c>
      <c r="F26" s="61">
        <v>3198</v>
      </c>
      <c r="G26" s="6">
        <f t="shared" si="1"/>
        <v>-387</v>
      </c>
      <c r="I26" s="5" t="s">
        <v>23</v>
      </c>
      <c r="J26" s="6">
        <f>SUM('1_bezr.'!C26)</f>
        <v>5487</v>
      </c>
      <c r="K26" s="6">
        <f t="shared" si="3"/>
        <v>2811</v>
      </c>
      <c r="L26" s="24">
        <f t="shared" si="2"/>
        <v>51.230180426462546</v>
      </c>
    </row>
    <row r="27" spans="2:12" x14ac:dyDescent="0.2">
      <c r="B27" s="5" t="s">
        <v>24</v>
      </c>
      <c r="C27" s="6">
        <v>578</v>
      </c>
      <c r="D27" s="61">
        <v>609</v>
      </c>
      <c r="E27" s="6">
        <f>SUM(C27)-D27</f>
        <v>-31</v>
      </c>
      <c r="F27" s="61">
        <v>734</v>
      </c>
      <c r="G27" s="6">
        <f>SUM(C27)-F27</f>
        <v>-156</v>
      </c>
      <c r="I27" s="5" t="s">
        <v>24</v>
      </c>
      <c r="J27" s="6">
        <f>SUM('1_bezr.'!C27)</f>
        <v>1125</v>
      </c>
      <c r="K27" s="6">
        <f t="shared" si="3"/>
        <v>578</v>
      </c>
      <c r="L27" s="24">
        <f t="shared" si="2"/>
        <v>51.37777777777778</v>
      </c>
    </row>
    <row r="28" spans="2:12" ht="15" x14ac:dyDescent="0.25">
      <c r="B28" s="58" t="s">
        <v>25</v>
      </c>
      <c r="C28" s="59">
        <f>SUM(C3:C27)</f>
        <v>36571</v>
      </c>
      <c r="D28" s="60">
        <f>SUM(D3:D27)</f>
        <v>37492</v>
      </c>
      <c r="E28" s="59">
        <f>SUM(E3:E27)</f>
        <v>-921</v>
      </c>
      <c r="F28" s="60">
        <f>SUM(F3:F27)</f>
        <v>40682</v>
      </c>
      <c r="G28" s="59">
        <f>SUM(G3:G27)</f>
        <v>-4111</v>
      </c>
      <c r="I28" s="58" t="s">
        <v>25</v>
      </c>
      <c r="J28" s="59">
        <f>SUM(J3:J27)</f>
        <v>70333</v>
      </c>
      <c r="K28" s="59">
        <f>SUM(K3:K27)</f>
        <v>36571</v>
      </c>
      <c r="L28" s="64">
        <f t="shared" si="2"/>
        <v>51.996928895397609</v>
      </c>
    </row>
    <row r="29" spans="2:12" x14ac:dyDescent="0.2">
      <c r="E29" s="19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6.5703125" style="3" customWidth="1"/>
    <col min="3" max="3" width="24.8554687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T('2_kob.'!B2)</f>
        <v>powiaty</v>
      </c>
      <c r="D3" s="55" t="str">
        <f>T('2_kob.'!C2)</f>
        <v>liczba bezrobotnych kobiet stan na 31 III '23 r.</v>
      </c>
      <c r="E3" s="55" t="str">
        <f>T('2_kob.'!D2)</f>
        <v>liczba bezrobotnych kobiet stan na 28 II '23 r.</v>
      </c>
      <c r="F3" s="55" t="str">
        <f>T('2_kob.'!E2)</f>
        <v>wzrost/spadek do poprzedniego  miesiąca</v>
      </c>
      <c r="G3" s="55" t="str">
        <f>T('2_kob.'!F2)</f>
        <v>liczba bezrobotnych kobiet stan na 31 III '22 r.</v>
      </c>
      <c r="H3" s="55" t="str">
        <f>T('2_kob.'!G2)</f>
        <v>wzrost/spadek do analogicznego okresu ubr.</v>
      </c>
    </row>
    <row r="4" spans="2:8" x14ac:dyDescent="0.2">
      <c r="B4" s="6">
        <f>RANK('2_kob.'!C3,'2_kob.'!$C$3:'2_kob.'!$C$28,1)+COUNTIF('2_kob.'!$C$3:'2_kob.'!C3,'2_kob.'!C3)-1</f>
        <v>3</v>
      </c>
      <c r="C4" s="5" t="str">
        <f>INDEX('2_kob.'!B3:G28,MATCH(1,B4:B29,0),1)</f>
        <v>Krosno</v>
      </c>
      <c r="D4" s="25">
        <f>INDEX('2_kob.'!B3:G28,MATCH(1,B4:B29,0),2)</f>
        <v>412</v>
      </c>
      <c r="E4" s="61">
        <f>INDEX('2_kob.'!B3:G28,MATCH(1,B4:B29,0),3)</f>
        <v>436</v>
      </c>
      <c r="F4" s="6">
        <f>INDEX('2_kob.'!B3:G28,MATCH(1,B4:B29,0),4)</f>
        <v>-24</v>
      </c>
      <c r="G4" s="61">
        <f>INDEX('2_kob.'!B3:G28,MATCH(1,B4:B29,0),5)</f>
        <v>447</v>
      </c>
      <c r="H4" s="6">
        <f>INDEX('2_kob.'!B3:G28,MATCH(1,B4:B29,0),6)</f>
        <v>-35</v>
      </c>
    </row>
    <row r="5" spans="2:8" x14ac:dyDescent="0.2">
      <c r="B5" s="6">
        <f>RANK('2_kob.'!C4,'2_kob.'!$C$3:'2_kob.'!$C$28,1)+COUNTIF('2_kob.'!$C$3:'2_kob.'!C4,'2_kob.'!C4)-1</f>
        <v>21</v>
      </c>
      <c r="C5" s="5" t="str">
        <f>INDEX('2_kob.'!B3:G28,MATCH(2,B4:B29,0),1)</f>
        <v>Tarnobrzeg</v>
      </c>
      <c r="D5" s="6">
        <f>INDEX('2_kob.'!B3:G28,MATCH(2,B4:B29,0),2)</f>
        <v>578</v>
      </c>
      <c r="E5" s="61">
        <f>INDEX('2_kob.'!B3:G28,MATCH(2,B4:B29,0),3)</f>
        <v>609</v>
      </c>
      <c r="F5" s="6">
        <f>INDEX('2_kob.'!B3:G28,MATCH(2,B4:B29,0),4)</f>
        <v>-31</v>
      </c>
      <c r="G5" s="61">
        <f>INDEX('2_kob.'!B3:G28,MATCH(2,B4:B29,0),5)</f>
        <v>734</v>
      </c>
      <c r="H5" s="6">
        <f>INDEX('2_kob.'!B3:G28,MATCH(2,B4:B29,0),6)</f>
        <v>-156</v>
      </c>
    </row>
    <row r="6" spans="2:8" x14ac:dyDescent="0.2">
      <c r="B6" s="6">
        <f>RANK('2_kob.'!C5,'2_kob.'!$C$3:'2_kob.'!$C$28,1)+COUNTIF('2_kob.'!$C$3:'2_kob.'!C5,'2_kob.'!C5)-1</f>
        <v>15</v>
      </c>
      <c r="C6" s="5" t="str">
        <f>INDEX('2_kob.'!B3:G28,MATCH(3,B4:B29,0),1)</f>
        <v>bieszczadzki</v>
      </c>
      <c r="D6" s="6">
        <f>INDEX('2_kob.'!B3:G28,MATCH(3,B4:B29,0),2)</f>
        <v>579</v>
      </c>
      <c r="E6" s="61">
        <f>INDEX('2_kob.'!B3:G28,MATCH(3,B4:B29,0),3)</f>
        <v>600</v>
      </c>
      <c r="F6" s="6">
        <f>INDEX('2_kob.'!B3:G28,MATCH(3,B4:B29,0),4)</f>
        <v>-21</v>
      </c>
      <c r="G6" s="61">
        <f>INDEX('2_kob.'!B3:G28,MATCH(3,B4:B29,0),5)</f>
        <v>639</v>
      </c>
      <c r="H6" s="6">
        <f>INDEX('2_kob.'!B3:G28,MATCH(3,B4:B29,0),6)</f>
        <v>-60</v>
      </c>
    </row>
    <row r="7" spans="2:8" x14ac:dyDescent="0.2">
      <c r="B7" s="6">
        <f>RANK('2_kob.'!C6,'2_kob.'!$C$3:'2_kob.'!$C$28,1)+COUNTIF('2_kob.'!$C$3:'2_kob.'!C6,'2_kob.'!C6)-1</f>
        <v>23</v>
      </c>
      <c r="C7" s="5" t="str">
        <f>INDEX('2_kob.'!B3:G28,MATCH(4,B4:B29,0),1)</f>
        <v xml:space="preserve">tarnobrzeski </v>
      </c>
      <c r="D7" s="6">
        <f>INDEX('2_kob.'!B3:G28,MATCH(4,B4:B29,0),2)</f>
        <v>699</v>
      </c>
      <c r="E7" s="61">
        <f>INDEX('2_kob.'!B3:G28,MATCH(4,B4:B29,0),3)</f>
        <v>737</v>
      </c>
      <c r="F7" s="6">
        <f>INDEX('2_kob.'!B3:G28,MATCH(4,B4:B29,0),4)</f>
        <v>-38</v>
      </c>
      <c r="G7" s="61">
        <f>INDEX('2_kob.'!B3:G28,MATCH(4,B4:B29,0),5)</f>
        <v>827</v>
      </c>
      <c r="H7" s="6">
        <f>INDEX('2_kob.'!B3:G28,MATCH(4,B4:B29,0),6)</f>
        <v>-128</v>
      </c>
    </row>
    <row r="8" spans="2:8" x14ac:dyDescent="0.2">
      <c r="B8" s="6">
        <f>RANK('2_kob.'!C7,'2_kob.'!$C$3:'2_kob.'!$C$28,1)+COUNTIF('2_kob.'!$C$3:'2_kob.'!C7,'2_kob.'!C7)-1</f>
        <v>25</v>
      </c>
      <c r="C8" s="5" t="str">
        <f>INDEX('2_kob.'!B3:G28,MATCH(5,B4:B29,0),1)</f>
        <v>kolbuszowski</v>
      </c>
      <c r="D8" s="6">
        <f>INDEX('2_kob.'!B3:G28,MATCH(5,B4:B29,0),2)</f>
        <v>842</v>
      </c>
      <c r="E8" s="61">
        <f>INDEX('2_kob.'!B3:G28,MATCH(5,B4:B29,0),3)</f>
        <v>861</v>
      </c>
      <c r="F8" s="6">
        <f>INDEX('2_kob.'!B3:G28,MATCH(5,B4:B29,0),4)</f>
        <v>-19</v>
      </c>
      <c r="G8" s="61">
        <f>INDEX('2_kob.'!B3:G28,MATCH(5,B4:B29,0),5)</f>
        <v>959</v>
      </c>
      <c r="H8" s="6">
        <f>INDEX('2_kob.'!B3:G28,MATCH(5,B4:B29,0),6)</f>
        <v>-117</v>
      </c>
    </row>
    <row r="9" spans="2:8" x14ac:dyDescent="0.2">
      <c r="B9" s="6">
        <f>RANK('2_kob.'!C8,'2_kob.'!$C$3:'2_kob.'!$C$28,1)+COUNTIF('2_kob.'!$C$3:'2_kob.'!C8,'2_kob.'!C8)-1</f>
        <v>5</v>
      </c>
      <c r="C9" s="5" t="str">
        <f>INDEX('2_kob.'!B3:G28,MATCH(6,B4:B29,0),1)</f>
        <v>leski</v>
      </c>
      <c r="D9" s="6">
        <f>INDEX('2_kob.'!B3:G28,MATCH(6,B4:B29,0),2)</f>
        <v>857</v>
      </c>
      <c r="E9" s="61">
        <f>INDEX('2_kob.'!B3:G28,MATCH(6,B4:B29,0),3)</f>
        <v>856</v>
      </c>
      <c r="F9" s="6">
        <f>INDEX('2_kob.'!B3:G28,MATCH(6,B4:B29,0),4)</f>
        <v>1</v>
      </c>
      <c r="G9" s="61">
        <f>INDEX('2_kob.'!B3:G28,MATCH(6,B4:B29,0),5)</f>
        <v>838</v>
      </c>
      <c r="H9" s="6">
        <f>INDEX('2_kob.'!B3:G28,MATCH(6,B4:B29,0),6)</f>
        <v>19</v>
      </c>
    </row>
    <row r="10" spans="2:8" x14ac:dyDescent="0.2">
      <c r="B10" s="6">
        <f>RANK('2_kob.'!C9,'2_kob.'!$C$3:'2_kob.'!$C$28,1)+COUNTIF('2_kob.'!$C$3:'2_kob.'!C9,'2_kob.'!C9)-1</f>
        <v>9</v>
      </c>
      <c r="C10" s="9" t="str">
        <f>INDEX('2_kob.'!B3:G28,MATCH(7,B4:B29,0),1)</f>
        <v>lubaczowski</v>
      </c>
      <c r="D10" s="6">
        <f>INDEX('2_kob.'!B3:G28,MATCH(7,B4:B29,0),2)</f>
        <v>871</v>
      </c>
      <c r="E10" s="61">
        <f>INDEX('2_kob.'!B3:G28,MATCH(7,B4:B29,0),3)</f>
        <v>891</v>
      </c>
      <c r="F10" s="6">
        <f>INDEX('2_kob.'!B3:G28,MATCH(7,B4:B29,0),4)</f>
        <v>-20</v>
      </c>
      <c r="G10" s="61">
        <f>INDEX('2_kob.'!B3:G28,MATCH(7,B4:B29,0),5)</f>
        <v>917</v>
      </c>
      <c r="H10" s="6">
        <f>INDEX('2_kob.'!B3:G28,MATCH(7,B4:B29,0),6)</f>
        <v>-46</v>
      </c>
    </row>
    <row r="11" spans="2:8" x14ac:dyDescent="0.2">
      <c r="B11" s="6">
        <f>RANK('2_kob.'!C10,'2_kob.'!$C$3:'2_kob.'!$C$28,1)+COUNTIF('2_kob.'!$C$3:'2_kob.'!C10,'2_kob.'!C10)-1</f>
        <v>6</v>
      </c>
      <c r="C11" s="5" t="str">
        <f>INDEX('2_kob.'!B3:G28,MATCH(8,B4:B29,0),1)</f>
        <v>stalowowolski</v>
      </c>
      <c r="D11" s="6">
        <f>INDEX('2_kob.'!B3:G28,MATCH(8,B4:B29,0),2)</f>
        <v>1091</v>
      </c>
      <c r="E11" s="61">
        <f>INDEX('2_kob.'!B3:G28,MATCH(8,B4:B29,0),3)</f>
        <v>1089</v>
      </c>
      <c r="F11" s="6">
        <f>INDEX('2_kob.'!B3:G28,MATCH(8,B4:B29,0),4)</f>
        <v>2</v>
      </c>
      <c r="G11" s="61">
        <f>INDEX('2_kob.'!B3:G28,MATCH(8,B4:B29,0),5)</f>
        <v>1225</v>
      </c>
      <c r="H11" s="6">
        <f>INDEX('2_kob.'!B3:G28,MATCH(8,B4:B29,0),6)</f>
        <v>-134</v>
      </c>
    </row>
    <row r="12" spans="2:8" x14ac:dyDescent="0.2">
      <c r="B12" s="6">
        <f>RANK('2_kob.'!C11,'2_kob.'!$C$3:'2_kob.'!$C$28,1)+COUNTIF('2_kob.'!$C$3:'2_kob.'!C11,'2_kob.'!C11)-1</f>
        <v>19</v>
      </c>
      <c r="C12" s="5" t="str">
        <f>INDEX('2_kob.'!B3:G28,MATCH(9,B4:B29,0),1)</f>
        <v>krośnieński</v>
      </c>
      <c r="D12" s="6">
        <f>INDEX('2_kob.'!B3:G28,MATCH(9,B4:B29,0),2)</f>
        <v>1204</v>
      </c>
      <c r="E12" s="61">
        <f>INDEX('2_kob.'!B3:G28,MATCH(9,B4:B29,0),3)</f>
        <v>1207</v>
      </c>
      <c r="F12" s="6">
        <f>INDEX('2_kob.'!B3:G28,MATCH(9,B4:B29,0),4)</f>
        <v>-3</v>
      </c>
      <c r="G12" s="61">
        <f>INDEX('2_kob.'!B3:G28,MATCH(9,B4:B29,0),5)</f>
        <v>1158</v>
      </c>
      <c r="H12" s="6">
        <f>INDEX('2_kob.'!B3:G28,MATCH(9,B4:B29,0),6)</f>
        <v>46</v>
      </c>
    </row>
    <row r="13" spans="2:8" x14ac:dyDescent="0.2">
      <c r="B13" s="6">
        <f>RANK('2_kob.'!C12,'2_kob.'!$C$3:'2_kob.'!$C$28,1)+COUNTIF('2_kob.'!$C$3:'2_kob.'!C12,'2_kob.'!C12)-1</f>
        <v>7</v>
      </c>
      <c r="C13" s="5" t="str">
        <f>INDEX('2_kob.'!B3:G28,MATCH(10,B4:B29,0),1)</f>
        <v>Przemyśl</v>
      </c>
      <c r="D13" s="6">
        <f>INDEX('2_kob.'!B3:G28,MATCH(10,B4:B29,0),2)</f>
        <v>1208</v>
      </c>
      <c r="E13" s="61">
        <f>INDEX('2_kob.'!B3:G28,MATCH(10,B4:B29,0),3)</f>
        <v>1229</v>
      </c>
      <c r="F13" s="6">
        <f>INDEX('2_kob.'!B3:G28,MATCH(10,B4:B29,0),4)</f>
        <v>-21</v>
      </c>
      <c r="G13" s="61">
        <f>INDEX('2_kob.'!B3:G28,MATCH(10,B4:B29,0),5)</f>
        <v>1447</v>
      </c>
      <c r="H13" s="6">
        <f>INDEX('2_kob.'!B3:G28,MATCH(10,B4:B29,0),6)</f>
        <v>-239</v>
      </c>
    </row>
    <row r="14" spans="2:8" x14ac:dyDescent="0.2">
      <c r="B14" s="6">
        <f>RANK('2_kob.'!C13,'2_kob.'!$C$3:'2_kob.'!$C$28,1)+COUNTIF('2_kob.'!$C$3:'2_kob.'!C13,'2_kob.'!C13)-1</f>
        <v>11</v>
      </c>
      <c r="C14" s="5" t="str">
        <f>INDEX('2_kob.'!B3:G28,MATCH(11,B4:B29,0),1)</f>
        <v>łańcucki</v>
      </c>
      <c r="D14" s="6">
        <f>INDEX('2_kob.'!B3:G28,MATCH(11,B4:B29,0),2)</f>
        <v>1287</v>
      </c>
      <c r="E14" s="61">
        <f>INDEX('2_kob.'!B3:G28,MATCH(11,B4:B29,0),3)</f>
        <v>1361</v>
      </c>
      <c r="F14" s="6">
        <f>INDEX('2_kob.'!B3:G28,MATCH(11,B4:B29,0),4)</f>
        <v>-74</v>
      </c>
      <c r="G14" s="61">
        <f>INDEX('2_kob.'!B3:G28,MATCH(11,B4:B29,0),5)</f>
        <v>1671</v>
      </c>
      <c r="H14" s="6">
        <f>INDEX('2_kob.'!B3:G28,MATCH(11,B4:B29,0),6)</f>
        <v>-384</v>
      </c>
    </row>
    <row r="15" spans="2:8" x14ac:dyDescent="0.2">
      <c r="B15" s="6">
        <f>RANK('2_kob.'!C14,'2_kob.'!$C$3:'2_kob.'!$C$28,1)+COUNTIF('2_kob.'!$C$3:'2_kob.'!C14,'2_kob.'!C14)-1</f>
        <v>12</v>
      </c>
      <c r="C15" s="5" t="str">
        <f>INDEX('2_kob.'!B3:G28,MATCH(12,B4:B29,0),1)</f>
        <v>mielecki</v>
      </c>
      <c r="D15" s="6">
        <f>INDEX('2_kob.'!B3:G28,MATCH(12,B4:B29,0),2)</f>
        <v>1373</v>
      </c>
      <c r="E15" s="61">
        <f>INDEX('2_kob.'!B3:G28,MATCH(12,B4:B29,0),3)</f>
        <v>1425</v>
      </c>
      <c r="F15" s="6">
        <f>INDEX('2_kob.'!B3:G28,MATCH(12,B4:B29,0),4)</f>
        <v>-52</v>
      </c>
      <c r="G15" s="61">
        <f>INDEX('2_kob.'!B3:G28,MATCH(12,B4:B29,0),5)</f>
        <v>1517</v>
      </c>
      <c r="H15" s="6">
        <f>INDEX('2_kob.'!B3:G28,MATCH(12,B4:B29,0),6)</f>
        <v>-144</v>
      </c>
    </row>
    <row r="16" spans="2:8" x14ac:dyDescent="0.2">
      <c r="B16" s="6">
        <f>RANK('2_kob.'!C15,'2_kob.'!$C$3:'2_kob.'!$C$28,1)+COUNTIF('2_kob.'!$C$3:'2_kob.'!C15,'2_kob.'!C15)-1</f>
        <v>17</v>
      </c>
      <c r="C16" s="5" t="str">
        <f>INDEX('2_kob.'!B3:G28,MATCH(13,B4:B29,0),1)</f>
        <v>sanocki</v>
      </c>
      <c r="D16" s="6">
        <f>INDEX('2_kob.'!B3:G28,MATCH(13,B4:B29,0),2)</f>
        <v>1411</v>
      </c>
      <c r="E16" s="61">
        <f>INDEX('2_kob.'!B3:G28,MATCH(13,B4:B29,0),3)</f>
        <v>1422</v>
      </c>
      <c r="F16" s="6">
        <f>INDEX('2_kob.'!B3:G28,MATCH(13,B4:B29,0),4)</f>
        <v>-11</v>
      </c>
      <c r="G16" s="61">
        <f>INDEX('2_kob.'!B3:G28,MATCH(13,B4:B29,0),5)</f>
        <v>1309</v>
      </c>
      <c r="H16" s="6">
        <f>INDEX('2_kob.'!B3:G28,MATCH(13,B4:B29,0),6)</f>
        <v>102</v>
      </c>
    </row>
    <row r="17" spans="2:8" x14ac:dyDescent="0.2">
      <c r="B17" s="6">
        <f>RANK('2_kob.'!C16,'2_kob.'!$C$3:'2_kob.'!$C$28,1)+COUNTIF('2_kob.'!$C$3:'2_kob.'!C16,'2_kob.'!C16)-1</f>
        <v>16</v>
      </c>
      <c r="C17" s="5" t="str">
        <f>INDEX('2_kob.'!B3:G28,MATCH(14,B4:B29,0),1)</f>
        <v>ropczycko-sędziszowski</v>
      </c>
      <c r="D17" s="6">
        <f>INDEX('2_kob.'!B3:G28,MATCH(14,B4:B29,0),2)</f>
        <v>1480</v>
      </c>
      <c r="E17" s="61">
        <f>INDEX('2_kob.'!B3:G28,MATCH(14,B4:B29,0),3)</f>
        <v>1509</v>
      </c>
      <c r="F17" s="6">
        <f>INDEX('2_kob.'!B3:G28,MATCH(14,B4:B29,0),4)</f>
        <v>-29</v>
      </c>
      <c r="G17" s="61">
        <f>INDEX('2_kob.'!B3:G28,MATCH(14,B4:B29,0),5)</f>
        <v>1805</v>
      </c>
      <c r="H17" s="6">
        <f>INDEX('2_kob.'!B3:G28,MATCH(14,B4:B29,0),6)</f>
        <v>-325</v>
      </c>
    </row>
    <row r="18" spans="2:8" x14ac:dyDescent="0.2">
      <c r="B18" s="6">
        <f>RANK('2_kob.'!C17,'2_kob.'!$C$3:'2_kob.'!$C$28,1)+COUNTIF('2_kob.'!$C$3:'2_kob.'!C17,'2_kob.'!C17)-1</f>
        <v>20</v>
      </c>
      <c r="C18" s="5" t="str">
        <f>INDEX('2_kob.'!B3:G28,MATCH(15,B4:B29,0),1)</f>
        <v>dębicki</v>
      </c>
      <c r="D18" s="6">
        <f>INDEX('2_kob.'!B3:G28,MATCH(15,B4:B29,0),2)</f>
        <v>1521</v>
      </c>
      <c r="E18" s="61">
        <f>INDEX('2_kob.'!B3:G28,MATCH(15,B4:B29,0),3)</f>
        <v>1568</v>
      </c>
      <c r="F18" s="6">
        <f>INDEX('2_kob.'!B3:G28,MATCH(15,B4:B29,0),4)</f>
        <v>-47</v>
      </c>
      <c r="G18" s="61">
        <f>INDEX('2_kob.'!B3:G28,MATCH(15,B4:B29,0),5)</f>
        <v>1672</v>
      </c>
      <c r="H18" s="6">
        <f>INDEX('2_kob.'!B3:G28,MATCH(15,B4:B29,0),6)</f>
        <v>-151</v>
      </c>
    </row>
    <row r="19" spans="2:8" x14ac:dyDescent="0.2">
      <c r="B19" s="6">
        <f>RANK('2_kob.'!C18,'2_kob.'!$C$3:'2_kob.'!$C$28,1)+COUNTIF('2_kob.'!$C$3:'2_kob.'!C18,'2_kob.'!C18)-1</f>
        <v>14</v>
      </c>
      <c r="C19" s="5" t="str">
        <f>INDEX('2_kob.'!B3:G28,MATCH(16,B4:B29,0),1)</f>
        <v>przemyski</v>
      </c>
      <c r="D19" s="6">
        <f>INDEX('2_kob.'!B3:G28,MATCH(16,B4:B29,0),2)</f>
        <v>1581</v>
      </c>
      <c r="E19" s="61">
        <f>INDEX('2_kob.'!B3:G28,MATCH(16,B4:B29,0),3)</f>
        <v>1631</v>
      </c>
      <c r="F19" s="6">
        <f>INDEX('2_kob.'!B3:G28,MATCH(16,B4:B29,0),4)</f>
        <v>-50</v>
      </c>
      <c r="G19" s="61">
        <f>INDEX('2_kob.'!B3:G28,MATCH(16,B4:B29,0),5)</f>
        <v>1841</v>
      </c>
      <c r="H19" s="6">
        <f>INDEX('2_kob.'!B3:G28,MATCH(16,B4:B29,0),6)</f>
        <v>-260</v>
      </c>
    </row>
    <row r="20" spans="2:8" x14ac:dyDescent="0.2">
      <c r="B20" s="6">
        <f>RANK('2_kob.'!C19,'2_kob.'!$C$3:'2_kob.'!$C$28,1)+COUNTIF('2_kob.'!$C$3:'2_kob.'!C19,'2_kob.'!C19)-1</f>
        <v>22</v>
      </c>
      <c r="C20" s="5" t="str">
        <f>INDEX('2_kob.'!B3:G28,MATCH(17,B4:B29,0),1)</f>
        <v>niżański</v>
      </c>
      <c r="D20" s="6">
        <f>INDEX('2_kob.'!B3:G28,MATCH(17,B4:B29,0),2)</f>
        <v>1637</v>
      </c>
      <c r="E20" s="61">
        <f>INDEX('2_kob.'!B3:G28,MATCH(17,B4:B29,0),3)</f>
        <v>1718</v>
      </c>
      <c r="F20" s="6">
        <f>INDEX('2_kob.'!B3:G28,MATCH(17,B4:B29,0),4)</f>
        <v>-81</v>
      </c>
      <c r="G20" s="61">
        <f>INDEX('2_kob.'!B3:G28,MATCH(17,B4:B29,0),5)</f>
        <v>1763</v>
      </c>
      <c r="H20" s="6">
        <f>INDEX('2_kob.'!B3:G28,MATCH(17,B4:B29,0),6)</f>
        <v>-126</v>
      </c>
    </row>
    <row r="21" spans="2:8" x14ac:dyDescent="0.2">
      <c r="B21" s="6">
        <f>RANK('2_kob.'!C20,'2_kob.'!$C$3:'2_kob.'!$C$28,1)+COUNTIF('2_kob.'!$C$3:'2_kob.'!C20,'2_kob.'!C20)-1</f>
        <v>13</v>
      </c>
      <c r="C21" s="5" t="str">
        <f>INDEX('2_kob.'!B3:G28,MATCH(18,B4:B29,0),1)</f>
        <v>strzyżowski</v>
      </c>
      <c r="D21" s="6">
        <f>INDEX('2_kob.'!B3:G28,MATCH(18,B4:B29,0),2)</f>
        <v>1690</v>
      </c>
      <c r="E21" s="61">
        <f>INDEX('2_kob.'!B3:G28,MATCH(18,B4:B29,0),3)</f>
        <v>1749</v>
      </c>
      <c r="F21" s="6">
        <f>INDEX('2_kob.'!B3:G28,MATCH(18,B4:B29,0),4)</f>
        <v>-59</v>
      </c>
      <c r="G21" s="61">
        <f>INDEX('2_kob.'!B3:G28,MATCH(18,B4:B29,0),5)</f>
        <v>1846</v>
      </c>
      <c r="H21" s="6">
        <f>INDEX('2_kob.'!B3:G28,MATCH(18,B4:B29,0),6)</f>
        <v>-156</v>
      </c>
    </row>
    <row r="22" spans="2:8" x14ac:dyDescent="0.2">
      <c r="B22" s="6">
        <f>RANK('2_kob.'!C21,'2_kob.'!$C$3:'2_kob.'!$C$28,1)+COUNTIF('2_kob.'!$C$3:'2_kob.'!C21,'2_kob.'!C21)-1</f>
        <v>8</v>
      </c>
      <c r="C22" s="5" t="str">
        <f>INDEX('2_kob.'!B3:G28,MATCH(19,B4:B29,0),1)</f>
        <v>leżajski</v>
      </c>
      <c r="D22" s="6">
        <f>INDEX('2_kob.'!B3:G28,MATCH(19,B4:B29,0),2)</f>
        <v>1710</v>
      </c>
      <c r="E22" s="61">
        <f>INDEX('2_kob.'!B3:G28,MATCH(19,B4:B29,0),3)</f>
        <v>1707</v>
      </c>
      <c r="F22" s="6">
        <f>INDEX('2_kob.'!B3:G28,MATCH(19,B4:B29,0),4)</f>
        <v>3</v>
      </c>
      <c r="G22" s="61">
        <f>INDEX('2_kob.'!B3:G28,MATCH(19,B4:B29,0),5)</f>
        <v>1831</v>
      </c>
      <c r="H22" s="6">
        <f>INDEX('2_kob.'!B3:G28,MATCH(19,B4:B29,0),6)</f>
        <v>-121</v>
      </c>
    </row>
    <row r="23" spans="2:8" x14ac:dyDescent="0.2">
      <c r="B23" s="6">
        <f>RANK('2_kob.'!C22,'2_kob.'!$C$3:'2_kob.'!$C$28,1)+COUNTIF('2_kob.'!$C$3:'2_kob.'!C22,'2_kob.'!C22)-1</f>
        <v>18</v>
      </c>
      <c r="C23" s="5" t="str">
        <f>INDEX('2_kob.'!B3:G28,MATCH(20,B4:B29,0),1)</f>
        <v>przeworski</v>
      </c>
      <c r="D23" s="6">
        <f>INDEX('2_kob.'!B3:G28,MATCH(20,B4:B29,0),2)</f>
        <v>1969</v>
      </c>
      <c r="E23" s="61">
        <f>INDEX('2_kob.'!B3:G28,MATCH(20,B4:B29,0),3)</f>
        <v>1953</v>
      </c>
      <c r="F23" s="6">
        <f>INDEX('2_kob.'!B3:G28,MATCH(20,B4:B29,0),4)</f>
        <v>16</v>
      </c>
      <c r="G23" s="61">
        <f>INDEX('2_kob.'!B3:G28,MATCH(20,B4:B29,0),5)</f>
        <v>2155</v>
      </c>
      <c r="H23" s="6">
        <f>INDEX('2_kob.'!B3:G28,MATCH(20,B4:B29,0),6)</f>
        <v>-186</v>
      </c>
    </row>
    <row r="24" spans="2:8" x14ac:dyDescent="0.2">
      <c r="B24" s="6">
        <f>RANK('2_kob.'!C23,'2_kob.'!$C$3:'2_kob.'!$C$28,1)+COUNTIF('2_kob.'!$C$3:'2_kob.'!C23,'2_kob.'!C23)-1</f>
        <v>4</v>
      </c>
      <c r="C24" s="5" t="str">
        <f>INDEX('2_kob.'!B3:G28,MATCH(21,B4:B29,0),1)</f>
        <v>brzozowski</v>
      </c>
      <c r="D24" s="6">
        <f>INDEX('2_kob.'!B3:G28,MATCH(21,B4:B29,0),2)</f>
        <v>2032</v>
      </c>
      <c r="E24" s="61">
        <f>INDEX('2_kob.'!B3:G28,MATCH(21,B4:B29,0),3)</f>
        <v>2090</v>
      </c>
      <c r="F24" s="6">
        <f>INDEX('2_kob.'!B3:G28,MATCH(21,B4:B29,0),4)</f>
        <v>-58</v>
      </c>
      <c r="G24" s="61">
        <f>INDEX('2_kob.'!B3:G28,MATCH(21,B4:B29,0),5)</f>
        <v>2180</v>
      </c>
      <c r="H24" s="6">
        <f>INDEX('2_kob.'!B3:G28,MATCH(21,B4:B29,0),6)</f>
        <v>-148</v>
      </c>
    </row>
    <row r="25" spans="2:8" x14ac:dyDescent="0.2">
      <c r="B25" s="6">
        <f>RANK('2_kob.'!C24,'2_kob.'!$C$3:'2_kob.'!$C$28,1)+COUNTIF('2_kob.'!$C$3:'2_kob.'!C24,'2_kob.'!C24)-1</f>
        <v>1</v>
      </c>
      <c r="C25" s="5" t="str">
        <f>INDEX('2_kob.'!B3:G28,MATCH(22,B4:B29,0),1)</f>
        <v>rzeszowski</v>
      </c>
      <c r="D25" s="6">
        <f>INDEX('2_kob.'!B3:G28,MATCH(22,B4:B29,0),2)</f>
        <v>2427</v>
      </c>
      <c r="E25" s="61">
        <f>INDEX('2_kob.'!B3:G28,MATCH(22,B4:B29,0),3)</f>
        <v>2571</v>
      </c>
      <c r="F25" s="6">
        <f>INDEX('2_kob.'!B3:G28,MATCH(22,B4:B29,0),4)</f>
        <v>-144</v>
      </c>
      <c r="G25" s="61">
        <f>INDEX('2_kob.'!B3:G28,MATCH(22,B4:B29,0),5)</f>
        <v>2790</v>
      </c>
      <c r="H25" s="6">
        <f>INDEX('2_kob.'!B3:G28,MATCH(22,B4:B29,0),6)</f>
        <v>-363</v>
      </c>
    </row>
    <row r="26" spans="2:8" x14ac:dyDescent="0.2">
      <c r="B26" s="6">
        <f>RANK('2_kob.'!C25,'2_kob.'!$C$3:'2_kob.'!$C$28,1)+COUNTIF('2_kob.'!$C$3:'2_kob.'!C25,'2_kob.'!C25)-1</f>
        <v>10</v>
      </c>
      <c r="C26" s="5" t="str">
        <f>INDEX('2_kob.'!B3:G28,MATCH(23,B4:B29,0),1)</f>
        <v>jarosławski</v>
      </c>
      <c r="D26" s="6">
        <f>INDEX('2_kob.'!B3:G28,MATCH(23,B4:B29,0),2)</f>
        <v>2450</v>
      </c>
      <c r="E26" s="61">
        <f>INDEX('2_kob.'!B3:G28,MATCH(23,B4:B29,0),3)</f>
        <v>2548</v>
      </c>
      <c r="F26" s="6">
        <f>INDEX('2_kob.'!B3:G28,MATCH(23,B4:B29,0),4)</f>
        <v>-98</v>
      </c>
      <c r="G26" s="61">
        <f>INDEX('2_kob.'!B3:G28,MATCH(23,B4:B29,0),5)</f>
        <v>2816</v>
      </c>
      <c r="H26" s="6">
        <f>INDEX('2_kob.'!B3:G28,MATCH(23,B4:B29,0),6)</f>
        <v>-366</v>
      </c>
    </row>
    <row r="27" spans="2:8" x14ac:dyDescent="0.2">
      <c r="B27" s="6">
        <f>RANK('2_kob.'!C26,'2_kob.'!$C$3:'2_kob.'!$C$28,1)+COUNTIF('2_kob.'!$C$3:'2_kob.'!C26,'2_kob.'!C26)-1</f>
        <v>24</v>
      </c>
      <c r="C27" s="5" t="str">
        <f>INDEX('2_kob.'!B3:G28,MATCH(24,B4:B29,0),1)</f>
        <v>Rzeszów</v>
      </c>
      <c r="D27" s="6">
        <f>INDEX('2_kob.'!B3:G28,MATCH(24,B4:B29,0),2)</f>
        <v>2811</v>
      </c>
      <c r="E27" s="61">
        <f>INDEX('2_kob.'!B3:G28,MATCH(24,B4:B29,0),3)</f>
        <v>2829</v>
      </c>
      <c r="F27" s="6">
        <f>INDEX('2_kob.'!B3:G28,MATCH(24,B4:B29,0),4)</f>
        <v>-18</v>
      </c>
      <c r="G27" s="61">
        <f>INDEX('2_kob.'!B3:G28,MATCH(24,B4:B29,0),5)</f>
        <v>3198</v>
      </c>
      <c r="H27" s="6">
        <f>INDEX('2_kob.'!B3:G28,MATCH(24,B4:B29,0),6)</f>
        <v>-387</v>
      </c>
    </row>
    <row r="28" spans="2:8" x14ac:dyDescent="0.2">
      <c r="B28" s="6">
        <f>RANK('2_kob.'!C27,'2_kob.'!$C$3:'2_kob.'!$C$28,1)+COUNTIF('2_kob.'!$C$3:'2_kob.'!C27,'2_kob.'!C27)-1</f>
        <v>2</v>
      </c>
      <c r="C28" s="5" t="str">
        <f>INDEX('2_kob.'!B3:G28,MATCH(25,B4:B29,0),1)</f>
        <v>jasielski</v>
      </c>
      <c r="D28" s="6">
        <f>INDEX('2_kob.'!B3:G28,MATCH(25,B4:B29,0),2)</f>
        <v>2851</v>
      </c>
      <c r="E28" s="61">
        <f>INDEX('2_kob.'!B3:G28,MATCH(25,B4:B29,0),3)</f>
        <v>2896</v>
      </c>
      <c r="F28" s="6">
        <f>INDEX('2_kob.'!B3:G28,MATCH(25,B4:B29,0),4)</f>
        <v>-45</v>
      </c>
      <c r="G28" s="61">
        <f>INDEX('2_kob.'!B3:G28,MATCH(25,B4:B29,0),5)</f>
        <v>3097</v>
      </c>
      <c r="H28" s="6">
        <f>INDEX('2_kob.'!B3:G28,MATCH(25,B4:B29,0),6)</f>
        <v>-246</v>
      </c>
    </row>
    <row r="29" spans="2:8" ht="15" x14ac:dyDescent="0.25">
      <c r="B29" s="59">
        <f>RANK('2_kob.'!C28,'2_kob.'!$C$3:'2_kob.'!$C$28,1)+COUNTIF('2_kob.'!$C$3:'2_kob.'!C28,'2_kob.'!C28)-1</f>
        <v>26</v>
      </c>
      <c r="C29" s="58" t="str">
        <f>INDEX('2_kob.'!B3:G28,MATCH(26,B4:B29,0),1)</f>
        <v>województwo</v>
      </c>
      <c r="D29" s="59">
        <f>INDEX('2_kob.'!B3:G28,MATCH(26,B4:B29,0),2)</f>
        <v>36571</v>
      </c>
      <c r="E29" s="63">
        <f>INDEX('2_kob.'!B3:G28,MATCH(26,B4:B29,0),3)</f>
        <v>37492</v>
      </c>
      <c r="F29" s="59">
        <f>INDEX('2_kob.'!B3:G28,MATCH(26,B4:B29,0),4)</f>
        <v>-921</v>
      </c>
      <c r="G29" s="63">
        <f>INDEX('2_kob.'!B3:G28,MATCH(26,B4:B29,0),5)</f>
        <v>40682</v>
      </c>
      <c r="H29" s="59">
        <f>INDEX('2_kob.'!B3:G28,MATCH(26,B4:B29,0),6)</f>
        <v>-4111</v>
      </c>
    </row>
  </sheetData>
  <pageMargins left="0" right="0" top="0.31496062992125984" bottom="0" header="0" footer="0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22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25" customWidth="1"/>
    <col min="2" max="2" width="33.42578125" style="3" customWidth="1"/>
    <col min="3" max="3" width="16.28515625" style="3" customWidth="1"/>
    <col min="4" max="4" width="16" style="3" customWidth="1"/>
    <col min="5" max="5" width="15.28515625" style="3" customWidth="1"/>
    <col min="6" max="6" width="15.140625" style="3" customWidth="1"/>
    <col min="7" max="7" width="14.7109375" style="3" customWidth="1"/>
    <col min="8" max="8" width="9.140625" style="25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65" t="s">
        <v>27</v>
      </c>
      <c r="C2" s="65" t="s">
        <v>115</v>
      </c>
      <c r="D2" s="66" t="s">
        <v>105</v>
      </c>
      <c r="E2" s="65" t="s">
        <v>81</v>
      </c>
      <c r="F2" s="66" t="s">
        <v>116</v>
      </c>
      <c r="G2" s="65" t="s">
        <v>82</v>
      </c>
    </row>
    <row r="3" spans="1:8" ht="15" x14ac:dyDescent="0.2">
      <c r="A3" s="25">
        <v>1</v>
      </c>
      <c r="B3" s="26" t="s">
        <v>33</v>
      </c>
      <c r="C3" s="27">
        <v>5.4</v>
      </c>
      <c r="D3" s="67">
        <v>5.5</v>
      </c>
      <c r="E3" s="27">
        <f t="shared" ref="E3:E19" si="0">SUM(C3)-D3</f>
        <v>-9.9999999999999645E-2</v>
      </c>
      <c r="F3" s="69">
        <v>5.8</v>
      </c>
      <c r="G3" s="27">
        <f t="shared" ref="G3:G19" si="1">SUM(C3)-F3</f>
        <v>-0.39999999999999947</v>
      </c>
      <c r="H3" s="28"/>
    </row>
    <row r="4" spans="1:8" x14ac:dyDescent="0.2">
      <c r="A4" s="25">
        <v>2</v>
      </c>
      <c r="B4" s="29" t="s">
        <v>34</v>
      </c>
      <c r="C4" s="30">
        <v>4.7</v>
      </c>
      <c r="D4" s="68">
        <v>4.8</v>
      </c>
      <c r="E4" s="30">
        <f t="shared" si="0"/>
        <v>-9.9999999999999645E-2</v>
      </c>
      <c r="F4" s="68">
        <v>4.9000000000000004</v>
      </c>
      <c r="G4" s="30">
        <f t="shared" si="1"/>
        <v>-0.20000000000000018</v>
      </c>
      <c r="H4" s="28"/>
    </row>
    <row r="5" spans="1:8" x14ac:dyDescent="0.2">
      <c r="A5" s="25">
        <v>3</v>
      </c>
      <c r="B5" s="29" t="s">
        <v>35</v>
      </c>
      <c r="C5" s="31">
        <v>7.6</v>
      </c>
      <c r="D5" s="68">
        <v>7.8</v>
      </c>
      <c r="E5" s="31">
        <f t="shared" si="0"/>
        <v>-0.20000000000000018</v>
      </c>
      <c r="F5" s="68">
        <v>8</v>
      </c>
      <c r="G5" s="30">
        <f t="shared" si="1"/>
        <v>-0.40000000000000036</v>
      </c>
      <c r="H5" s="28"/>
    </row>
    <row r="6" spans="1:8" x14ac:dyDescent="0.2">
      <c r="A6" s="25">
        <v>4</v>
      </c>
      <c r="B6" s="29" t="s">
        <v>36</v>
      </c>
      <c r="C6" s="30">
        <v>8.1999999999999993</v>
      </c>
      <c r="D6" s="68">
        <v>8.4</v>
      </c>
      <c r="E6" s="30">
        <f t="shared" si="0"/>
        <v>-0.20000000000000107</v>
      </c>
      <c r="F6" s="68">
        <v>8.8000000000000007</v>
      </c>
      <c r="G6" s="30">
        <f t="shared" si="1"/>
        <v>-0.60000000000000142</v>
      </c>
      <c r="H6" s="28"/>
    </row>
    <row r="7" spans="1:8" x14ac:dyDescent="0.2">
      <c r="A7" s="25">
        <v>5</v>
      </c>
      <c r="B7" s="29" t="s">
        <v>37</v>
      </c>
      <c r="C7" s="30">
        <v>4.5999999999999996</v>
      </c>
      <c r="D7" s="68">
        <v>4.7</v>
      </c>
      <c r="E7" s="30">
        <f t="shared" si="0"/>
        <v>-0.10000000000000053</v>
      </c>
      <c r="F7" s="68">
        <v>5</v>
      </c>
      <c r="G7" s="30">
        <f t="shared" si="1"/>
        <v>-0.40000000000000036</v>
      </c>
      <c r="H7" s="28"/>
    </row>
    <row r="8" spans="1:8" x14ac:dyDescent="0.2">
      <c r="A8" s="25">
        <v>6</v>
      </c>
      <c r="B8" s="29" t="s">
        <v>38</v>
      </c>
      <c r="C8" s="30">
        <v>5.7</v>
      </c>
      <c r="D8" s="68">
        <v>5.8</v>
      </c>
      <c r="E8" s="30">
        <f t="shared" si="0"/>
        <v>-9.9999999999999645E-2</v>
      </c>
      <c r="F8" s="68">
        <v>6.2</v>
      </c>
      <c r="G8" s="30">
        <f t="shared" si="1"/>
        <v>-0.5</v>
      </c>
      <c r="H8" s="28"/>
    </row>
    <row r="9" spans="1:8" x14ac:dyDescent="0.2">
      <c r="A9" s="25">
        <v>7</v>
      </c>
      <c r="B9" s="29" t="s">
        <v>39</v>
      </c>
      <c r="C9" s="30">
        <v>4.8</v>
      </c>
      <c r="D9" s="68">
        <v>4.9000000000000004</v>
      </c>
      <c r="E9" s="30">
        <f t="shared" si="0"/>
        <v>-0.10000000000000053</v>
      </c>
      <c r="F9" s="68">
        <v>5</v>
      </c>
      <c r="G9" s="30">
        <f t="shared" si="1"/>
        <v>-0.20000000000000018</v>
      </c>
      <c r="H9" s="28"/>
    </row>
    <row r="10" spans="1:8" x14ac:dyDescent="0.2">
      <c r="A10" s="25">
        <v>8</v>
      </c>
      <c r="B10" s="29" t="s">
        <v>40</v>
      </c>
      <c r="C10" s="30">
        <v>4.3</v>
      </c>
      <c r="D10" s="68">
        <v>4.4000000000000004</v>
      </c>
      <c r="E10" s="30">
        <f t="shared" si="0"/>
        <v>-0.10000000000000053</v>
      </c>
      <c r="F10" s="68">
        <v>4.7</v>
      </c>
      <c r="G10" s="30">
        <f t="shared" si="1"/>
        <v>-0.40000000000000036</v>
      </c>
      <c r="H10" s="28"/>
    </row>
    <row r="11" spans="1:8" x14ac:dyDescent="0.2">
      <c r="A11" s="25">
        <v>9</v>
      </c>
      <c r="B11" s="29" t="s">
        <v>41</v>
      </c>
      <c r="C11" s="30">
        <v>6.4</v>
      </c>
      <c r="D11" s="68">
        <v>6.5</v>
      </c>
      <c r="E11" s="30">
        <f t="shared" si="0"/>
        <v>-9.9999999999999645E-2</v>
      </c>
      <c r="F11" s="68">
        <v>6.4</v>
      </c>
      <c r="G11" s="30">
        <f t="shared" si="1"/>
        <v>0</v>
      </c>
      <c r="H11" s="28"/>
    </row>
    <row r="12" spans="1:8" ht="15" x14ac:dyDescent="0.2">
      <c r="A12" s="25">
        <v>10</v>
      </c>
      <c r="B12" s="26" t="s">
        <v>42</v>
      </c>
      <c r="C12" s="27">
        <v>9</v>
      </c>
      <c r="D12" s="69">
        <v>9.1999999999999993</v>
      </c>
      <c r="E12" s="27">
        <f t="shared" si="0"/>
        <v>-0.19999999999999929</v>
      </c>
      <c r="F12" s="69">
        <v>9.8000000000000007</v>
      </c>
      <c r="G12" s="27">
        <f t="shared" si="1"/>
        <v>-0.80000000000000071</v>
      </c>
      <c r="H12" s="28"/>
    </row>
    <row r="13" spans="1:8" x14ac:dyDescent="0.2">
      <c r="A13" s="25">
        <v>11</v>
      </c>
      <c r="B13" s="29" t="s">
        <v>43</v>
      </c>
      <c r="C13" s="30">
        <v>7.5</v>
      </c>
      <c r="D13" s="68">
        <v>7.6</v>
      </c>
      <c r="E13" s="30">
        <f t="shared" si="0"/>
        <v>-9.9999999999999645E-2</v>
      </c>
      <c r="F13" s="68">
        <v>7.8</v>
      </c>
      <c r="G13" s="30">
        <f t="shared" si="1"/>
        <v>-0.29999999999999982</v>
      </c>
      <c r="H13" s="28"/>
    </row>
    <row r="14" spans="1:8" x14ac:dyDescent="0.2">
      <c r="A14" s="25">
        <v>12</v>
      </c>
      <c r="B14" s="29" t="s">
        <v>44</v>
      </c>
      <c r="C14" s="30">
        <v>4.9000000000000004</v>
      </c>
      <c r="D14" s="68">
        <v>5</v>
      </c>
      <c r="E14" s="30">
        <f t="shared" si="0"/>
        <v>-9.9999999999999645E-2</v>
      </c>
      <c r="F14" s="68">
        <v>5.0999999999999996</v>
      </c>
      <c r="G14" s="30">
        <f t="shared" si="1"/>
        <v>-0.19999999999999929</v>
      </c>
      <c r="H14" s="28"/>
    </row>
    <row r="15" spans="1:8" x14ac:dyDescent="0.2">
      <c r="A15" s="25">
        <v>13</v>
      </c>
      <c r="B15" s="29" t="s">
        <v>45</v>
      </c>
      <c r="C15" s="30">
        <v>3.9</v>
      </c>
      <c r="D15" s="68">
        <v>3.9</v>
      </c>
      <c r="E15" s="30">
        <f t="shared" si="0"/>
        <v>0</v>
      </c>
      <c r="F15" s="68">
        <v>4.4000000000000004</v>
      </c>
      <c r="G15" s="30">
        <f t="shared" si="1"/>
        <v>-0.50000000000000044</v>
      </c>
      <c r="H15" s="28"/>
    </row>
    <row r="16" spans="1:8" x14ac:dyDescent="0.2">
      <c r="A16" s="25">
        <v>14</v>
      </c>
      <c r="B16" s="29" t="s">
        <v>46</v>
      </c>
      <c r="C16" s="30">
        <v>8</v>
      </c>
      <c r="D16" s="68">
        <v>8.3000000000000007</v>
      </c>
      <c r="E16" s="30">
        <f t="shared" si="0"/>
        <v>-0.30000000000000071</v>
      </c>
      <c r="F16" s="68">
        <v>8.6</v>
      </c>
      <c r="G16" s="30">
        <f t="shared" si="1"/>
        <v>-0.59999999999999964</v>
      </c>
      <c r="H16" s="28"/>
    </row>
    <row r="17" spans="1:8" x14ac:dyDescent="0.2">
      <c r="A17" s="25">
        <v>15</v>
      </c>
      <c r="B17" s="29" t="s">
        <v>47</v>
      </c>
      <c r="C17" s="30">
        <v>9.1999999999999993</v>
      </c>
      <c r="D17" s="68">
        <v>9.4</v>
      </c>
      <c r="E17" s="30">
        <f t="shared" si="0"/>
        <v>-0.20000000000000107</v>
      </c>
      <c r="F17" s="68">
        <v>9.1999999999999993</v>
      </c>
      <c r="G17" s="30">
        <f t="shared" si="1"/>
        <v>0</v>
      </c>
      <c r="H17" s="28"/>
    </row>
    <row r="18" spans="1:8" x14ac:dyDescent="0.2">
      <c r="A18" s="25">
        <v>16</v>
      </c>
      <c r="B18" s="29" t="s">
        <v>48</v>
      </c>
      <c r="C18" s="30">
        <v>3.1</v>
      </c>
      <c r="D18" s="68">
        <v>3.2</v>
      </c>
      <c r="E18" s="30">
        <f t="shared" si="0"/>
        <v>-0.10000000000000009</v>
      </c>
      <c r="F18" s="68">
        <v>3.2</v>
      </c>
      <c r="G18" s="30">
        <f t="shared" si="1"/>
        <v>-0.10000000000000009</v>
      </c>
      <c r="H18" s="28"/>
    </row>
    <row r="19" spans="1:8" x14ac:dyDescent="0.2">
      <c r="A19" s="25">
        <v>17</v>
      </c>
      <c r="B19" s="29" t="s">
        <v>49</v>
      </c>
      <c r="C19" s="30">
        <v>7</v>
      </c>
      <c r="D19" s="68">
        <v>7.1</v>
      </c>
      <c r="E19" s="30">
        <f t="shared" si="0"/>
        <v>-9.9999999999999645E-2</v>
      </c>
      <c r="F19" s="68">
        <v>7.3</v>
      </c>
      <c r="G19" s="30">
        <f t="shared" si="1"/>
        <v>-0.29999999999999982</v>
      </c>
      <c r="H19" s="28"/>
    </row>
    <row r="20" spans="1:8" ht="12.75" customHeight="1" x14ac:dyDescent="0.2">
      <c r="B20" s="52" t="s">
        <v>102</v>
      </c>
    </row>
    <row r="21" spans="1:8" ht="13.5" customHeight="1" x14ac:dyDescent="0.2">
      <c r="B21" s="52"/>
    </row>
    <row r="22" spans="1:8" x14ac:dyDescent="0.2">
      <c r="B22" s="53"/>
    </row>
  </sheetData>
  <sortState xmlns:xlrd2="http://schemas.microsoft.com/office/spreadsheetml/2017/richdata2"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H23"/>
  <sheetViews>
    <sheetView zoomScale="80" zoomScaleNormal="8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8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20"/>
      <c r="D2" s="21"/>
    </row>
    <row r="3" spans="1:8" ht="71.25" x14ac:dyDescent="0.2">
      <c r="B3" s="62" t="s">
        <v>88</v>
      </c>
      <c r="C3" s="55" t="str">
        <f>T('3_s.bezr.Polska'!B2)</f>
        <v>powiaty</v>
      </c>
      <c r="D3" s="55" t="str">
        <f>T('3_s.bezr.Polska'!C2)</f>
        <v>Stopa bezrobocia stan na 31 III '23 r. (w proc.)*</v>
      </c>
      <c r="E3" s="55" t="str">
        <f>T('3_s.bezr.Polska'!D2)</f>
        <v>Stopa bezrobocia stan na 28 II '23 r. (w proc.)*</v>
      </c>
      <c r="F3" s="66" t="str">
        <f>T('3_s.bezr.Polska'!E2)</f>
        <v>wzrost lub spadek do poprzedniego miesiąca (pkt. proc.)</v>
      </c>
      <c r="G3" s="55" t="str">
        <f>T('3_s.bezr.Polska'!F2)</f>
        <v>Stopa bezrobocia stan na 31 III '22 r. (w proc.)*</v>
      </c>
      <c r="H3" s="66" t="str">
        <f>T('3_s.bezr.Polska'!G2)</f>
        <v>wzrost lub spadek do analogicznego okresu ubr. (pkt. proc.)</v>
      </c>
    </row>
    <row r="4" spans="1:8" x14ac:dyDescent="0.2">
      <c r="A4" s="3">
        <v>1</v>
      </c>
      <c r="B4" s="6">
        <f>RANK('3_s.bezr.Polska'!C3,'3_s.bezr.Polska'!$C$3:'3_s.bezr.Polska'!$C$19,1)+COUNTIF('3_s.bezr.Polska'!$C$3:'3_s.bezr.Polska'!C3,'3_s.bezr.Polska'!C3)-1</f>
        <v>8</v>
      </c>
      <c r="C4" s="5" t="str">
        <f>INDEX('3_s.bezr.Polska'!B3:G19,MATCH(1,B4:B20,0),1)</f>
        <v>WIELKOPOLSKIE</v>
      </c>
      <c r="D4" s="28">
        <f>INDEX('3_s.bezr.Polska'!B3:G19,MATCH(1,B4:B20,0),2)</f>
        <v>3.1</v>
      </c>
      <c r="E4" s="31">
        <f>INDEX('3_s.bezr.Polska'!B3:G19,MATCH(1,B4:B20,0),3)</f>
        <v>3.2</v>
      </c>
      <c r="F4" s="68">
        <f>INDEX('3_s.bezr.Polska'!B3:G19,MATCH(1,B4:B20,0),4)</f>
        <v>-0.10000000000000009</v>
      </c>
      <c r="G4" s="31">
        <f>INDEX('3_s.bezr.Polska'!B3:G19,MATCH(1,B4:B20,0),5)</f>
        <v>3.2</v>
      </c>
      <c r="H4" s="68">
        <f>INDEX('3_s.bezr.Polska'!B3:G19,MATCH(1,B4:B20,0),6)</f>
        <v>-0.10000000000000009</v>
      </c>
    </row>
    <row r="5" spans="1:8" x14ac:dyDescent="0.2">
      <c r="A5" s="3">
        <v>2</v>
      </c>
      <c r="B5" s="6">
        <f>RANK('3_s.bezr.Polska'!C4,'3_s.bezr.Polska'!$C$3:'3_s.bezr.Polska'!$C$19,1)+COUNTIF('3_s.bezr.Polska'!$C$3:'3_s.bezr.Polska'!C4,'3_s.bezr.Polska'!C4)-1</f>
        <v>5</v>
      </c>
      <c r="C5" s="5" t="str">
        <f>INDEX('3_s.bezr.Polska'!B3:G19,MATCH(2,B4:B20,0),1)</f>
        <v>ŚLĄSKIE</v>
      </c>
      <c r="D5" s="8">
        <f>INDEX('3_s.bezr.Polska'!B3:G19,MATCH(2,B4:B20,0),2)</f>
        <v>3.9</v>
      </c>
      <c r="E5" s="31">
        <f>INDEX('3_s.bezr.Polska'!B3:G19,MATCH(2,B4:B20,0),3)</f>
        <v>3.9</v>
      </c>
      <c r="F5" s="68">
        <f>INDEX('3_s.bezr.Polska'!B3:G19,MATCH(2,B4:B20,0),4)</f>
        <v>0</v>
      </c>
      <c r="G5" s="31">
        <f>INDEX('3_s.bezr.Polska'!B3:G19,MATCH(2,B4:B20,0),5)</f>
        <v>4.4000000000000004</v>
      </c>
      <c r="H5" s="68">
        <f>INDEX('3_s.bezr.Polska'!B3:G19,MATCH(2,B4:B20,0),6)</f>
        <v>-0.50000000000000044</v>
      </c>
    </row>
    <row r="6" spans="1:8" x14ac:dyDescent="0.2">
      <c r="A6" s="3">
        <v>3</v>
      </c>
      <c r="B6" s="6">
        <f>RANK('3_s.bezr.Polska'!C5,'3_s.bezr.Polska'!$C$3:'3_s.bezr.Polska'!$C$19,1)+COUNTIF('3_s.bezr.Polska'!$C$3:'3_s.bezr.Polska'!C5,'3_s.bezr.Polska'!C5)-1</f>
        <v>13</v>
      </c>
      <c r="C6" s="5" t="str">
        <f>INDEX('3_s.bezr.Polska'!B3:G19,MATCH(3,B4:B20,0),1)</f>
        <v>MAZOWIECKIE</v>
      </c>
      <c r="D6" s="8">
        <f>INDEX('3_s.bezr.Polska'!B3:G19,MATCH(3,B4:B20,0),2)</f>
        <v>4.3</v>
      </c>
      <c r="E6" s="31">
        <f>INDEX('3_s.bezr.Polska'!B3:G19,MATCH(3,B4:B20,0),3)</f>
        <v>4.4000000000000004</v>
      </c>
      <c r="F6" s="68">
        <f>INDEX('3_s.bezr.Polska'!B3:G19,MATCH(3,B4:B20,0),4)</f>
        <v>-0.10000000000000053</v>
      </c>
      <c r="G6" s="31">
        <f>INDEX('3_s.bezr.Polska'!B3:G19,MATCH(3,B4:B20,0),5)</f>
        <v>4.7</v>
      </c>
      <c r="H6" s="68">
        <f>INDEX('3_s.bezr.Polska'!B3:G19,MATCH(3,B4:B20,0),6)</f>
        <v>-0.40000000000000036</v>
      </c>
    </row>
    <row r="7" spans="1:8" x14ac:dyDescent="0.2">
      <c r="A7" s="3">
        <v>4</v>
      </c>
      <c r="B7" s="6">
        <f>RANK('3_s.bezr.Polska'!C6,'3_s.bezr.Polska'!$C$3:'3_s.bezr.Polska'!$C$19,1)+COUNTIF('3_s.bezr.Polska'!$C$3:'3_s.bezr.Polska'!C6,'3_s.bezr.Polska'!C6)-1</f>
        <v>15</v>
      </c>
      <c r="C7" s="5" t="str">
        <f>INDEX('3_s.bezr.Polska'!B3:G19,MATCH(4,B4:B20,0),1)</f>
        <v>LUBUSKIE</v>
      </c>
      <c r="D7" s="8">
        <f>INDEX('3_s.bezr.Polska'!B3:G19,MATCH(4,B4:B20,0),2)</f>
        <v>4.5999999999999996</v>
      </c>
      <c r="E7" s="31">
        <f>INDEX('3_s.bezr.Polska'!B3:G19,MATCH(4,B4:B20,0),3)</f>
        <v>4.7</v>
      </c>
      <c r="F7" s="68">
        <f>INDEX('3_s.bezr.Polska'!B3:G19,MATCH(4,B4:B20,0),4)</f>
        <v>-0.10000000000000053</v>
      </c>
      <c r="G7" s="31">
        <f>INDEX('3_s.bezr.Polska'!B3:G19,MATCH(4,B4:B20,0),5)</f>
        <v>5</v>
      </c>
      <c r="H7" s="68">
        <f>INDEX('3_s.bezr.Polska'!B3:G19,MATCH(4,B4:B20,0),6)</f>
        <v>-0.40000000000000036</v>
      </c>
    </row>
    <row r="8" spans="1:8" x14ac:dyDescent="0.2">
      <c r="A8" s="3">
        <v>5</v>
      </c>
      <c r="B8" s="6">
        <f>RANK('3_s.bezr.Polska'!C7,'3_s.bezr.Polska'!$C$3:'3_s.bezr.Polska'!$C$19,1)+COUNTIF('3_s.bezr.Polska'!$C$3:'3_s.bezr.Polska'!C7,'3_s.bezr.Polska'!C7)-1</f>
        <v>4</v>
      </c>
      <c r="C8" s="5" t="str">
        <f>INDEX('3_s.bezr.Polska'!B3:G19,MATCH(5,B4:B20,0),1)</f>
        <v>DOLNOŚLĄSKIE</v>
      </c>
      <c r="D8" s="8">
        <f>INDEX('3_s.bezr.Polska'!B3:G19,MATCH(5,B4:B20,0),2)</f>
        <v>4.7</v>
      </c>
      <c r="E8" s="31">
        <f>INDEX('3_s.bezr.Polska'!B3:G19,MATCH(5,B4:B20,0),3)</f>
        <v>4.8</v>
      </c>
      <c r="F8" s="68">
        <f>INDEX('3_s.bezr.Polska'!B3:G19,MATCH(5,B4:B20,0),4)</f>
        <v>-9.9999999999999645E-2</v>
      </c>
      <c r="G8" s="31">
        <f>INDEX('3_s.bezr.Polska'!B3:G19,MATCH(5,B4:B20,0),5)</f>
        <v>4.9000000000000004</v>
      </c>
      <c r="H8" s="68">
        <f>INDEX('3_s.bezr.Polska'!B3:G19,MATCH(5,B4:B20,0),6)</f>
        <v>-0.20000000000000018</v>
      </c>
    </row>
    <row r="9" spans="1:8" x14ac:dyDescent="0.2">
      <c r="A9" s="3">
        <v>6</v>
      </c>
      <c r="B9" s="6">
        <f>RANK('3_s.bezr.Polska'!C8,'3_s.bezr.Polska'!$C$3:'3_s.bezr.Polska'!$C$19,1)+COUNTIF('3_s.bezr.Polska'!$C$3:'3_s.bezr.Polska'!C8,'3_s.bezr.Polska'!C8)-1</f>
        <v>9</v>
      </c>
      <c r="C9" s="5" t="str">
        <f>INDEX('3_s.bezr.Polska'!B3:G19,MATCH(6,B4:B20,0),1)</f>
        <v>MAŁOPOLSKIE</v>
      </c>
      <c r="D9" s="8">
        <f>INDEX('3_s.bezr.Polska'!B3:G19,MATCH(6,B4:B20,0),2)</f>
        <v>4.8</v>
      </c>
      <c r="E9" s="31">
        <f>INDEX('3_s.bezr.Polska'!B3:G19,MATCH(6,B4:B20,0),3)</f>
        <v>4.9000000000000004</v>
      </c>
      <c r="F9" s="68">
        <f>INDEX('3_s.bezr.Polska'!B3:G19,MATCH(6,B4:B20,0),4)</f>
        <v>-0.10000000000000053</v>
      </c>
      <c r="G9" s="31">
        <f>INDEX('3_s.bezr.Polska'!B3:G19,MATCH(6,B4:B20,0),5)</f>
        <v>5</v>
      </c>
      <c r="H9" s="68">
        <f>INDEX('3_s.bezr.Polska'!B3:G19,MATCH(6,B4:B20,0),6)</f>
        <v>-0.20000000000000018</v>
      </c>
    </row>
    <row r="10" spans="1:8" x14ac:dyDescent="0.2">
      <c r="A10" s="3">
        <v>7</v>
      </c>
      <c r="B10" s="6">
        <f>RANK('3_s.bezr.Polska'!C9,'3_s.bezr.Polska'!$C$3:'3_s.bezr.Polska'!$C$19,1)+COUNTIF('3_s.bezr.Polska'!$C$3:'3_s.bezr.Polska'!C9,'3_s.bezr.Polska'!C9)-1</f>
        <v>6</v>
      </c>
      <c r="C10" s="9" t="str">
        <f>INDEX('3_s.bezr.Polska'!B3:G19,MATCH(7,B4:B20,0),1)</f>
        <v>POMORSKIE</v>
      </c>
      <c r="D10" s="8">
        <f>INDEX('3_s.bezr.Polska'!B3:G19,MATCH(7,B4:B20,0),2)</f>
        <v>4.9000000000000004</v>
      </c>
      <c r="E10" s="31">
        <f>INDEX('3_s.bezr.Polska'!B3:G19,MATCH(7,B4:B20,0),3)</f>
        <v>5</v>
      </c>
      <c r="F10" s="68">
        <f>INDEX('3_s.bezr.Polska'!B3:G19,MATCH(7,B4:B20,0),4)</f>
        <v>-9.9999999999999645E-2</v>
      </c>
      <c r="G10" s="31">
        <f>INDEX('3_s.bezr.Polska'!B3:G19,MATCH(7,B4:B20,0),5)</f>
        <v>5.0999999999999996</v>
      </c>
      <c r="H10" s="68">
        <f>INDEX('3_s.bezr.Polska'!B3:G19,MATCH(7,B4:B20,0),6)</f>
        <v>-0.19999999999999929</v>
      </c>
    </row>
    <row r="11" spans="1:8" ht="15" x14ac:dyDescent="0.25">
      <c r="A11" s="3">
        <v>8</v>
      </c>
      <c r="B11" s="22">
        <f>RANK('3_s.bezr.Polska'!C10,'3_s.bezr.Polska'!$C$3:'3_s.bezr.Polska'!$C$19,1)+COUNTIF('3_s.bezr.Polska'!$C$3:'3_s.bezr.Polska'!C10,'3_s.bezr.Polska'!C10)-1</f>
        <v>3</v>
      </c>
      <c r="C11" s="41" t="str">
        <f>INDEX('3_s.bezr.Polska'!B3:G19,MATCH(8,B4:B20,0),1)</f>
        <v>POLSKA</v>
      </c>
      <c r="D11" s="34">
        <f>INDEX('3_s.bezr.Polska'!B3:G19,MATCH(8,B4:B20,0),2)</f>
        <v>5.4</v>
      </c>
      <c r="E11" s="51">
        <f>INDEX('3_s.bezr.Polska'!B3:G19,MATCH(8,B4:B20,0),3)</f>
        <v>5.5</v>
      </c>
      <c r="F11" s="69">
        <f>INDEX('3_s.bezr.Polska'!B3:G19,MATCH(8,B4:B20,0),4)</f>
        <v>-9.9999999999999645E-2</v>
      </c>
      <c r="G11" s="51">
        <f>INDEX('3_s.bezr.Polska'!B3:G19,MATCH(8,B4:B20,0),5)</f>
        <v>5.8</v>
      </c>
      <c r="H11" s="69">
        <f>INDEX('3_s.bezr.Polska'!B3:G19,MATCH(8,B4:B20,0),6)</f>
        <v>-0.39999999999999947</v>
      </c>
    </row>
    <row r="12" spans="1:8" x14ac:dyDescent="0.2">
      <c r="A12" s="3">
        <v>9</v>
      </c>
      <c r="B12" s="6">
        <f>RANK('3_s.bezr.Polska'!C11,'3_s.bezr.Polska'!$C$3:'3_s.bezr.Polska'!$C$19,1)+COUNTIF('3_s.bezr.Polska'!$C$3:'3_s.bezr.Polska'!C11,'3_s.bezr.Polska'!C11)-1</f>
        <v>10</v>
      </c>
      <c r="C12" s="5" t="str">
        <f>INDEX('3_s.bezr.Polska'!B3:G19,MATCH(9,B4:B20,0),1)</f>
        <v>ŁÓDZKIE</v>
      </c>
      <c r="D12" s="8">
        <f>INDEX('3_s.bezr.Polska'!B3:G19,MATCH(9,B4:B20,0),2)</f>
        <v>5.7</v>
      </c>
      <c r="E12" s="31">
        <f>INDEX('3_s.bezr.Polska'!B3:G19,MATCH(9,B4:B20,0),3)</f>
        <v>5.8</v>
      </c>
      <c r="F12" s="68">
        <f>INDEX('3_s.bezr.Polska'!B3:G19,MATCH(9,B4:B20,0),4)</f>
        <v>-9.9999999999999645E-2</v>
      </c>
      <c r="G12" s="31">
        <f>INDEX('3_s.bezr.Polska'!B3:G19,MATCH(9,B4:B20,0),5)</f>
        <v>6.2</v>
      </c>
      <c r="H12" s="68">
        <f>INDEX('3_s.bezr.Polska'!B3:G19,MATCH(9,B4:B20,0),6)</f>
        <v>-0.5</v>
      </c>
    </row>
    <row r="13" spans="1:8" x14ac:dyDescent="0.2">
      <c r="A13" s="3">
        <v>10</v>
      </c>
      <c r="B13" s="6">
        <f>RANK('3_s.bezr.Polska'!C12,'3_s.bezr.Polska'!$C$3:'3_s.bezr.Polska'!$C$19,1)+COUNTIF('3_s.bezr.Polska'!$C$3:'3_s.bezr.Polska'!C12,'3_s.bezr.Polska'!C12)-1</f>
        <v>16</v>
      </c>
      <c r="C13" s="5" t="str">
        <f>INDEX('3_s.bezr.Polska'!B3:G19,MATCH(10,B4:B20,0),1)</f>
        <v>OPOLSKIE</v>
      </c>
      <c r="D13" s="8">
        <f>INDEX('3_s.bezr.Polska'!B3:G19,MATCH(10,B4:B20,0),2)</f>
        <v>6.4</v>
      </c>
      <c r="E13" s="31">
        <f>INDEX('3_s.bezr.Polska'!B3:G19,MATCH(10,B4:B20,0),3)</f>
        <v>6.5</v>
      </c>
      <c r="F13" s="68">
        <f>INDEX('3_s.bezr.Polska'!B3:G19,MATCH(10,B4:B20,0),4)</f>
        <v>-9.9999999999999645E-2</v>
      </c>
      <c r="G13" s="31">
        <f>INDEX('3_s.bezr.Polska'!B3:G19,MATCH(10,B4:B20,0),5)</f>
        <v>6.4</v>
      </c>
      <c r="H13" s="68">
        <f>INDEX('3_s.bezr.Polska'!B3:G19,MATCH(10,B4:B20,0),6)</f>
        <v>0</v>
      </c>
    </row>
    <row r="14" spans="1:8" x14ac:dyDescent="0.2">
      <c r="A14" s="3">
        <v>11</v>
      </c>
      <c r="B14" s="6">
        <f>RANK('3_s.bezr.Polska'!C13,'3_s.bezr.Polska'!$C$3:'3_s.bezr.Polska'!$C$19,1)+COUNTIF('3_s.bezr.Polska'!$C$3:'3_s.bezr.Polska'!C13,'3_s.bezr.Polska'!C13)-1</f>
        <v>12</v>
      </c>
      <c r="C14" s="5" t="str">
        <f>INDEX('3_s.bezr.Polska'!B3:G19,MATCH(11,B4:B20,0),1)</f>
        <v>ZACHODNIOPOMORSKIE</v>
      </c>
      <c r="D14" s="8">
        <f>INDEX('3_s.bezr.Polska'!B3:G19,MATCH(11,B4:B20,0),2)</f>
        <v>7</v>
      </c>
      <c r="E14" s="31">
        <f>INDEX('3_s.bezr.Polska'!B3:G19,MATCH(11,B4:B20,0),3)</f>
        <v>7.1</v>
      </c>
      <c r="F14" s="68">
        <f>INDEX('3_s.bezr.Polska'!B3:G19,MATCH(11,B4:B20,0),4)</f>
        <v>-9.9999999999999645E-2</v>
      </c>
      <c r="G14" s="31">
        <f>INDEX('3_s.bezr.Polska'!B3:G19,MATCH(11,B4:B20,0),5)</f>
        <v>7.3</v>
      </c>
      <c r="H14" s="68">
        <f>INDEX('3_s.bezr.Polska'!B3:G19,MATCH(11,B4:B20,0),6)</f>
        <v>-0.29999999999999982</v>
      </c>
    </row>
    <row r="15" spans="1:8" x14ac:dyDescent="0.2">
      <c r="A15" s="3">
        <v>12</v>
      </c>
      <c r="B15" s="6">
        <f>RANK('3_s.bezr.Polska'!C14,'3_s.bezr.Polska'!$C$3:'3_s.bezr.Polska'!$C$19,1)+COUNTIF('3_s.bezr.Polska'!$C$3:'3_s.bezr.Polska'!C14,'3_s.bezr.Polska'!C14)-1</f>
        <v>7</v>
      </c>
      <c r="C15" s="5" t="str">
        <f>INDEX('3_s.bezr.Polska'!B3:G19,MATCH(12,B4:B20,0),1)</f>
        <v>PODLASKIE</v>
      </c>
      <c r="D15" s="8">
        <f>INDEX('3_s.bezr.Polska'!B3:G19,MATCH(12,B4:B20,0),2)</f>
        <v>7.5</v>
      </c>
      <c r="E15" s="31">
        <f>INDEX('3_s.bezr.Polska'!B3:G19,MATCH(12,B4:B20,0),3)</f>
        <v>7.6</v>
      </c>
      <c r="F15" s="68">
        <f>INDEX('3_s.bezr.Polska'!B3:G19,MATCH(12,B4:B20,0),4)</f>
        <v>-9.9999999999999645E-2</v>
      </c>
      <c r="G15" s="31">
        <f>INDEX('3_s.bezr.Polska'!B3:G19,MATCH(12,B4:B20,0),5)</f>
        <v>7.8</v>
      </c>
      <c r="H15" s="68">
        <f>INDEX('3_s.bezr.Polska'!B3:G19,MATCH(12,B4:B20,0),6)</f>
        <v>-0.29999999999999982</v>
      </c>
    </row>
    <row r="16" spans="1:8" x14ac:dyDescent="0.2">
      <c r="A16" s="3">
        <v>13</v>
      </c>
      <c r="B16" s="6">
        <f>RANK('3_s.bezr.Polska'!C15,'3_s.bezr.Polska'!$C$3:'3_s.bezr.Polska'!$C$19,1)+COUNTIF('3_s.bezr.Polska'!$C$3:'3_s.bezr.Polska'!C15,'3_s.bezr.Polska'!C15)-1</f>
        <v>2</v>
      </c>
      <c r="C16" s="5" t="str">
        <f>INDEX('3_s.bezr.Polska'!B3:G19,MATCH(13,B4:B20,0),1)</f>
        <v>KUJAWSKO-POMORSKIE</v>
      </c>
      <c r="D16" s="8">
        <f>INDEX('3_s.bezr.Polska'!B3:G19,MATCH(13,B4:B20,0),2)</f>
        <v>7.6</v>
      </c>
      <c r="E16" s="31">
        <f>INDEX('3_s.bezr.Polska'!B3:G19,MATCH(13,B4:B20,0),3)</f>
        <v>7.8</v>
      </c>
      <c r="F16" s="68">
        <f>INDEX('3_s.bezr.Polska'!B3:G19,MATCH(13,B4:B20,0),4)</f>
        <v>-0.20000000000000018</v>
      </c>
      <c r="G16" s="31">
        <f>INDEX('3_s.bezr.Polska'!B3:G19,MATCH(13,B4:B20,0),5)</f>
        <v>8</v>
      </c>
      <c r="H16" s="68">
        <f>INDEX('3_s.bezr.Polska'!B3:G19,MATCH(13,B4:B20,0),6)</f>
        <v>-0.40000000000000036</v>
      </c>
    </row>
    <row r="17" spans="1:8" x14ac:dyDescent="0.2">
      <c r="A17" s="3">
        <v>14</v>
      </c>
      <c r="B17" s="6">
        <f>RANK('3_s.bezr.Polska'!C16,'3_s.bezr.Polska'!$C$3:'3_s.bezr.Polska'!$C$19,1)+COUNTIF('3_s.bezr.Polska'!$C$3:'3_s.bezr.Polska'!C16,'3_s.bezr.Polska'!C16)-1</f>
        <v>14</v>
      </c>
      <c r="C17" s="5" t="str">
        <f>INDEX('3_s.bezr.Polska'!B3:G19,MATCH(14,B4:B20,0),1)</f>
        <v>ŚWIĘTOKRZYSKIE</v>
      </c>
      <c r="D17" s="8">
        <f>INDEX('3_s.bezr.Polska'!B3:G19,MATCH(14,B4:B20,0),2)</f>
        <v>8</v>
      </c>
      <c r="E17" s="31">
        <f>INDEX('3_s.bezr.Polska'!B3:G19,MATCH(14,B4:B20,0),3)</f>
        <v>8.3000000000000007</v>
      </c>
      <c r="F17" s="68">
        <f>INDEX('3_s.bezr.Polska'!B3:G19,MATCH(14,B4:B20,0),4)</f>
        <v>-0.30000000000000071</v>
      </c>
      <c r="G17" s="31">
        <f>INDEX('3_s.bezr.Polska'!B3:G19,MATCH(14,B4:B20,0),5)</f>
        <v>8.6</v>
      </c>
      <c r="H17" s="68">
        <f>INDEX('3_s.bezr.Polska'!B3:G19,MATCH(14,B4:B20,0),6)</f>
        <v>-0.59999999999999964</v>
      </c>
    </row>
    <row r="18" spans="1:8" x14ac:dyDescent="0.2">
      <c r="A18" s="3">
        <v>15</v>
      </c>
      <c r="B18" s="6">
        <f>RANK('3_s.bezr.Polska'!C17,'3_s.bezr.Polska'!$C$3:'3_s.bezr.Polska'!$C$19,1)+COUNTIF('3_s.bezr.Polska'!$C$3:'3_s.bezr.Polska'!C17,'3_s.bezr.Polska'!C17)-1</f>
        <v>17</v>
      </c>
      <c r="C18" s="5" t="str">
        <f>INDEX('3_s.bezr.Polska'!B3:G19,MATCH(15,B4:B20,0),1)</f>
        <v>LUBELSKIE</v>
      </c>
      <c r="D18" s="8">
        <f>INDEX('3_s.bezr.Polska'!B3:G19,MATCH(15,B4:B20,0),2)</f>
        <v>8.1999999999999993</v>
      </c>
      <c r="E18" s="31">
        <f>INDEX('3_s.bezr.Polska'!B3:G19,MATCH(15,B4:B20,0),3)</f>
        <v>8.4</v>
      </c>
      <c r="F18" s="68">
        <f>INDEX('3_s.bezr.Polska'!B3:G19,MATCH(15,B4:B20,0),4)</f>
        <v>-0.20000000000000107</v>
      </c>
      <c r="G18" s="31">
        <f>INDEX('3_s.bezr.Polska'!B3:G19,MATCH(15,B4:B20,0),5)</f>
        <v>8.8000000000000007</v>
      </c>
      <c r="H18" s="68">
        <f>INDEX('3_s.bezr.Polska'!B3:G19,MATCH(15,B4:B20,0),6)</f>
        <v>-0.60000000000000142</v>
      </c>
    </row>
    <row r="19" spans="1:8" x14ac:dyDescent="0.2">
      <c r="A19" s="3">
        <v>16</v>
      </c>
      <c r="B19" s="6">
        <f>RANK('3_s.bezr.Polska'!C18,'3_s.bezr.Polska'!$C$3:'3_s.bezr.Polska'!$C$19,1)+COUNTIF('3_s.bezr.Polska'!$C$3:'3_s.bezr.Polska'!C18,'3_s.bezr.Polska'!C18)-1</f>
        <v>1</v>
      </c>
      <c r="C19" s="5" t="str">
        <f>INDEX('3_s.bezr.Polska'!B3:G19,MATCH(16,B4:B20,0),1)</f>
        <v>PODKARPACKIE</v>
      </c>
      <c r="D19" s="8">
        <f>INDEX('3_s.bezr.Polska'!B3:G19,MATCH(16,B4:B20,0),2)</f>
        <v>9</v>
      </c>
      <c r="E19" s="31">
        <f>INDEX('3_s.bezr.Polska'!B3:G19,MATCH(16,B4:B20,0),3)</f>
        <v>9.1999999999999993</v>
      </c>
      <c r="F19" s="68">
        <f>INDEX('3_s.bezr.Polska'!B3:G19,MATCH(16,B4:B20,0),4)</f>
        <v>-0.19999999999999929</v>
      </c>
      <c r="G19" s="31">
        <f>INDEX('3_s.bezr.Polska'!B3:G19,MATCH(16,B4:B20,0),5)</f>
        <v>9.8000000000000007</v>
      </c>
      <c r="H19" s="68">
        <f>INDEX('3_s.bezr.Polska'!B3:G19,MATCH(16,B4:B20,0),6)</f>
        <v>-0.80000000000000071</v>
      </c>
    </row>
    <row r="20" spans="1:8" x14ac:dyDescent="0.2">
      <c r="A20" s="3">
        <v>17</v>
      </c>
      <c r="B20" s="6">
        <f>RANK('3_s.bezr.Polska'!C19,'3_s.bezr.Polska'!$C$3:'3_s.bezr.Polska'!$C$19,1)+COUNTIF('3_s.bezr.Polska'!$C$3:'3_s.bezr.Polska'!C19,'3_s.bezr.Polska'!C19)-1</f>
        <v>11</v>
      </c>
      <c r="C20" s="9" t="str">
        <f>INDEX('3_s.bezr.Polska'!B3:G19,MATCH(17,B4:B20,0),1)</f>
        <v>WARMIŃSKO-MAZURSKIE</v>
      </c>
      <c r="D20" s="8">
        <f>INDEX('3_s.bezr.Polska'!B3:G19,MATCH(17,B4:B20,0),2)</f>
        <v>9.1999999999999993</v>
      </c>
      <c r="E20" s="31">
        <f>INDEX('3_s.bezr.Polska'!B3:G19,MATCH(17,B4:B20,0),3)</f>
        <v>9.4</v>
      </c>
      <c r="F20" s="68">
        <f>INDEX('3_s.bezr.Polska'!B3:G19,MATCH(17,B4:B20,0),4)</f>
        <v>-0.20000000000000107</v>
      </c>
      <c r="G20" s="31">
        <f>INDEX('3_s.bezr.Polska'!B3:G19,MATCH(17,B4:B20,0),5)</f>
        <v>9.1999999999999993</v>
      </c>
      <c r="H20" s="68">
        <f>INDEX('3_s.bezr.Polska'!B3:G19,MATCH(17,B4:B20,0),6)</f>
        <v>0</v>
      </c>
    </row>
    <row r="21" spans="1:8" x14ac:dyDescent="0.2">
      <c r="B21" s="52" t="s">
        <v>102</v>
      </c>
    </row>
    <row r="22" spans="1:8" x14ac:dyDescent="0.2">
      <c r="B22" s="52"/>
    </row>
    <row r="23" spans="1:8" x14ac:dyDescent="0.2">
      <c r="B23" s="53"/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25" customWidth="1"/>
    <col min="2" max="2" width="31.5703125" style="3" customWidth="1"/>
    <col min="3" max="3" width="15" style="3" customWidth="1"/>
    <col min="4" max="4" width="16" style="3" customWidth="1"/>
    <col min="5" max="5" width="16.28515625" style="3" customWidth="1"/>
    <col min="6" max="6" width="15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56" t="s">
        <v>27</v>
      </c>
      <c r="C2" s="56" t="s">
        <v>118</v>
      </c>
      <c r="D2" s="57" t="s">
        <v>117</v>
      </c>
      <c r="E2" s="56" t="s">
        <v>75</v>
      </c>
      <c r="F2" s="57" t="s">
        <v>119</v>
      </c>
      <c r="G2" s="56" t="s">
        <v>76</v>
      </c>
    </row>
    <row r="3" spans="1:8" ht="15" x14ac:dyDescent="0.2">
      <c r="A3" s="25">
        <v>1</v>
      </c>
      <c r="B3" s="70" t="s">
        <v>33</v>
      </c>
      <c r="C3" s="71">
        <v>5.4</v>
      </c>
      <c r="D3" s="72">
        <v>5.5</v>
      </c>
      <c r="E3" s="73">
        <f>($C$3)-$D$3</f>
        <v>-9.9999999999999645E-2</v>
      </c>
      <c r="F3" s="72">
        <v>5.8</v>
      </c>
      <c r="G3" s="71">
        <f>($C$3)-$F$3</f>
        <v>-0.39999999999999947</v>
      </c>
      <c r="H3" s="25"/>
    </row>
    <row r="4" spans="1:8" ht="15" x14ac:dyDescent="0.25">
      <c r="A4" s="25">
        <v>2</v>
      </c>
      <c r="B4" s="74" t="s">
        <v>42</v>
      </c>
      <c r="C4" s="75">
        <v>9</v>
      </c>
      <c r="D4" s="72">
        <v>9.1999999999999993</v>
      </c>
      <c r="E4" s="75">
        <f>($C$4)-$D$4</f>
        <v>-0.19999999999999929</v>
      </c>
      <c r="F4" s="72">
        <v>9.8000000000000007</v>
      </c>
      <c r="G4" s="75">
        <f>($C$4)-$F$4</f>
        <v>-0.80000000000000071</v>
      </c>
      <c r="H4" s="25"/>
    </row>
    <row r="5" spans="1:8" x14ac:dyDescent="0.2">
      <c r="A5" s="25">
        <v>3</v>
      </c>
      <c r="B5" s="29" t="s">
        <v>50</v>
      </c>
      <c r="C5" s="30">
        <v>16.7</v>
      </c>
      <c r="D5" s="76">
        <v>17</v>
      </c>
      <c r="E5" s="8">
        <f>($C$5)-$D$5</f>
        <v>-0.30000000000000071</v>
      </c>
      <c r="F5" s="76">
        <v>17.2</v>
      </c>
      <c r="G5" s="8">
        <f>($C$5)-$F$5</f>
        <v>-0.5</v>
      </c>
      <c r="H5" s="25"/>
    </row>
    <row r="6" spans="1:8" x14ac:dyDescent="0.2">
      <c r="A6" s="25">
        <v>4</v>
      </c>
      <c r="B6" s="29" t="s">
        <v>51</v>
      </c>
      <c r="C6" s="30">
        <v>20.9</v>
      </c>
      <c r="D6" s="76">
        <v>21.5</v>
      </c>
      <c r="E6" s="8">
        <f>($C$6)-$D$6</f>
        <v>-0.60000000000000142</v>
      </c>
      <c r="F6" s="76">
        <v>21.7</v>
      </c>
      <c r="G6" s="8">
        <f>($C$6)-$F$6</f>
        <v>-0.80000000000000071</v>
      </c>
      <c r="H6" s="25"/>
    </row>
    <row r="7" spans="1:8" x14ac:dyDescent="0.2">
      <c r="A7" s="25">
        <v>5</v>
      </c>
      <c r="B7" s="29" t="s">
        <v>52</v>
      </c>
      <c r="C7" s="30">
        <v>4.9000000000000004</v>
      </c>
      <c r="D7" s="76">
        <v>5.0999999999999996</v>
      </c>
      <c r="E7" s="8">
        <f>($C$7)-$D$7</f>
        <v>-0.19999999999999929</v>
      </c>
      <c r="F7" s="76">
        <v>5.2</v>
      </c>
      <c r="G7" s="8">
        <f>($C$7)-$F$7</f>
        <v>-0.29999999999999982</v>
      </c>
      <c r="H7" s="25"/>
    </row>
    <row r="8" spans="1:8" x14ac:dyDescent="0.2">
      <c r="A8" s="25">
        <v>6</v>
      </c>
      <c r="B8" s="29" t="s">
        <v>53</v>
      </c>
      <c r="C8" s="30">
        <v>11.5</v>
      </c>
      <c r="D8" s="76">
        <v>12</v>
      </c>
      <c r="E8" s="8">
        <f>($C$8)-$D$8</f>
        <v>-0.5</v>
      </c>
      <c r="F8" s="76">
        <v>12.9</v>
      </c>
      <c r="G8" s="8">
        <f>($C$8)-$F$8</f>
        <v>-1.4000000000000004</v>
      </c>
      <c r="H8" s="25"/>
    </row>
    <row r="9" spans="1:8" x14ac:dyDescent="0.2">
      <c r="A9" s="25">
        <v>7</v>
      </c>
      <c r="B9" s="29" t="s">
        <v>54</v>
      </c>
      <c r="C9" s="30">
        <v>13.1</v>
      </c>
      <c r="D9" s="76">
        <v>13.4</v>
      </c>
      <c r="E9" s="8">
        <f>($C$9)-$D$9</f>
        <v>-0.30000000000000071</v>
      </c>
      <c r="F9" s="76">
        <v>13.8</v>
      </c>
      <c r="G9" s="8">
        <f>($C$9)-$F$9</f>
        <v>-0.70000000000000107</v>
      </c>
      <c r="H9" s="25"/>
    </row>
    <row r="10" spans="1:8" x14ac:dyDescent="0.2">
      <c r="A10" s="25">
        <v>8</v>
      </c>
      <c r="B10" s="29" t="s">
        <v>55</v>
      </c>
      <c r="C10" s="30">
        <v>8.9</v>
      </c>
      <c r="D10" s="76">
        <v>9.1</v>
      </c>
      <c r="E10" s="8">
        <f>($C$10)-$D$10</f>
        <v>-0.19999999999999929</v>
      </c>
      <c r="F10" s="76">
        <v>9.6999999999999993</v>
      </c>
      <c r="G10" s="8">
        <f>($C$10)-$F$10</f>
        <v>-0.79999999999999893</v>
      </c>
      <c r="H10" s="25"/>
    </row>
    <row r="11" spans="1:8" x14ac:dyDescent="0.2">
      <c r="A11" s="25">
        <v>9</v>
      </c>
      <c r="B11" s="29" t="s">
        <v>56</v>
      </c>
      <c r="C11" s="30">
        <v>8.5</v>
      </c>
      <c r="D11" s="76">
        <v>8.5</v>
      </c>
      <c r="E11" s="8">
        <f>($C$11)-$D$11</f>
        <v>0</v>
      </c>
      <c r="F11" s="76">
        <v>8</v>
      </c>
      <c r="G11" s="8">
        <f>($C$11)-$F$11</f>
        <v>0.5</v>
      </c>
      <c r="H11" s="25"/>
    </row>
    <row r="12" spans="1:8" ht="15" x14ac:dyDescent="0.25">
      <c r="A12" s="25">
        <v>10</v>
      </c>
      <c r="B12" s="32" t="s">
        <v>57</v>
      </c>
      <c r="C12" s="33">
        <v>19.899999999999999</v>
      </c>
      <c r="D12" s="72">
        <v>20</v>
      </c>
      <c r="E12" s="34">
        <f>($C$12)-$D$12</f>
        <v>-0.10000000000000142</v>
      </c>
      <c r="F12" s="72">
        <v>19.600000000000001</v>
      </c>
      <c r="G12" s="34">
        <f>($C$12)-$F$12</f>
        <v>0.29999999999999716</v>
      </c>
      <c r="H12" s="28"/>
    </row>
    <row r="13" spans="1:8" x14ac:dyDescent="0.2">
      <c r="A13" s="25">
        <v>11</v>
      </c>
      <c r="B13" s="29" t="s">
        <v>58</v>
      </c>
      <c r="C13" s="30">
        <v>15.4</v>
      </c>
      <c r="D13" s="76">
        <v>15.8</v>
      </c>
      <c r="E13" s="8">
        <f>($C$13)-$D$13</f>
        <v>-0.40000000000000036</v>
      </c>
      <c r="F13" s="76">
        <v>17</v>
      </c>
      <c r="G13" s="8">
        <f>($C$13)-$F$13</f>
        <v>-1.5999999999999996</v>
      </c>
      <c r="H13" s="25"/>
    </row>
    <row r="14" spans="1:8" x14ac:dyDescent="0.2">
      <c r="A14" s="25">
        <v>12</v>
      </c>
      <c r="B14" s="29" t="s">
        <v>59</v>
      </c>
      <c r="C14" s="30">
        <v>11.4</v>
      </c>
      <c r="D14" s="76">
        <v>11.8</v>
      </c>
      <c r="E14" s="8">
        <f>($C$14)-$D$14</f>
        <v>-0.40000000000000036</v>
      </c>
      <c r="F14" s="76">
        <v>12</v>
      </c>
      <c r="G14" s="8">
        <f>($C$14)-$F$14</f>
        <v>-0.59999999999999964</v>
      </c>
      <c r="H14" s="25"/>
    </row>
    <row r="15" spans="1:8" x14ac:dyDescent="0.2">
      <c r="A15" s="25">
        <v>13</v>
      </c>
      <c r="B15" s="29" t="s">
        <v>60</v>
      </c>
      <c r="C15" s="30">
        <v>10.1</v>
      </c>
      <c r="D15" s="76">
        <v>10.6</v>
      </c>
      <c r="E15" s="8">
        <f>($C$15)-$D$15</f>
        <v>-0.5</v>
      </c>
      <c r="F15" s="76">
        <v>12.3</v>
      </c>
      <c r="G15" s="8">
        <f>($C$15)-$F$15</f>
        <v>-2.2000000000000011</v>
      </c>
      <c r="H15" s="25"/>
    </row>
    <row r="16" spans="1:8" x14ac:dyDescent="0.2">
      <c r="A16" s="25">
        <v>14</v>
      </c>
      <c r="B16" s="29" t="s">
        <v>61</v>
      </c>
      <c r="C16" s="30">
        <v>4.7</v>
      </c>
      <c r="D16" s="76">
        <v>4.8</v>
      </c>
      <c r="E16" s="8">
        <f>($C$16)-$D$16</f>
        <v>-9.9999999999999645E-2</v>
      </c>
      <c r="F16" s="76">
        <v>4.9000000000000004</v>
      </c>
      <c r="G16" s="8">
        <f>($C$16)-$F$16</f>
        <v>-0.20000000000000018</v>
      </c>
      <c r="H16" s="25"/>
    </row>
    <row r="17" spans="1:8" x14ac:dyDescent="0.2">
      <c r="A17" s="25">
        <v>15</v>
      </c>
      <c r="B17" s="29" t="s">
        <v>62</v>
      </c>
      <c r="C17" s="30">
        <v>17.7</v>
      </c>
      <c r="D17" s="76">
        <v>18.100000000000001</v>
      </c>
      <c r="E17" s="8">
        <f>($C$17)-$D$17</f>
        <v>-0.40000000000000213</v>
      </c>
      <c r="F17" s="76">
        <v>18.8</v>
      </c>
      <c r="G17" s="8">
        <f>($C$17)-$F$17</f>
        <v>-1.1000000000000014</v>
      </c>
      <c r="H17" s="25"/>
    </row>
    <row r="18" spans="1:8" x14ac:dyDescent="0.2">
      <c r="A18" s="25">
        <v>16</v>
      </c>
      <c r="B18" s="29" t="s">
        <v>63</v>
      </c>
      <c r="C18" s="30">
        <v>17.399999999999999</v>
      </c>
      <c r="D18" s="76">
        <v>17.899999999999999</v>
      </c>
      <c r="E18" s="8">
        <f>($C$18)-$D$18</f>
        <v>-0.5</v>
      </c>
      <c r="F18" s="76">
        <v>19.8</v>
      </c>
      <c r="G18" s="8">
        <f>($C$18)-$F$18</f>
        <v>-2.4000000000000021</v>
      </c>
      <c r="H18" s="25"/>
    </row>
    <row r="19" spans="1:8" x14ac:dyDescent="0.2">
      <c r="A19" s="25">
        <v>17</v>
      </c>
      <c r="B19" s="29" t="s">
        <v>64</v>
      </c>
      <c r="C19" s="30">
        <v>14.8</v>
      </c>
      <c r="D19" s="76">
        <v>14.9</v>
      </c>
      <c r="E19" s="8">
        <f>($C$19)-$D$19</f>
        <v>-9.9999999999999645E-2</v>
      </c>
      <c r="F19" s="76">
        <v>15.6</v>
      </c>
      <c r="G19" s="8">
        <f>($C$19)-$F$19</f>
        <v>-0.79999999999999893</v>
      </c>
      <c r="H19" s="25"/>
    </row>
    <row r="20" spans="1:8" x14ac:dyDescent="0.2">
      <c r="A20" s="25">
        <v>18</v>
      </c>
      <c r="B20" s="29" t="s">
        <v>65</v>
      </c>
      <c r="C20" s="30">
        <v>11.4</v>
      </c>
      <c r="D20" s="76">
        <v>11.7</v>
      </c>
      <c r="E20" s="8">
        <f>($C$20)-$D$20</f>
        <v>-0.29999999999999893</v>
      </c>
      <c r="F20" s="76">
        <v>13</v>
      </c>
      <c r="G20" s="8">
        <f>($C$20)-$F$20</f>
        <v>-1.5999999999999996</v>
      </c>
      <c r="H20" s="25"/>
    </row>
    <row r="21" spans="1:8" x14ac:dyDescent="0.2">
      <c r="A21" s="25">
        <v>19</v>
      </c>
      <c r="B21" s="29" t="s">
        <v>66</v>
      </c>
      <c r="C21" s="30">
        <v>8.5</v>
      </c>
      <c r="D21" s="76">
        <v>8.8000000000000007</v>
      </c>
      <c r="E21" s="8">
        <f>($C$21)-$D$21</f>
        <v>-0.30000000000000071</v>
      </c>
      <c r="F21" s="76">
        <v>9.4</v>
      </c>
      <c r="G21" s="8">
        <f>($C$21)-$F$21</f>
        <v>-0.90000000000000036</v>
      </c>
      <c r="H21" s="25"/>
    </row>
    <row r="22" spans="1:8" x14ac:dyDescent="0.2">
      <c r="A22" s="25">
        <v>20</v>
      </c>
      <c r="B22" s="29" t="s">
        <v>67</v>
      </c>
      <c r="C22" s="30">
        <v>8.1999999999999993</v>
      </c>
      <c r="D22" s="76">
        <v>8.3000000000000007</v>
      </c>
      <c r="E22" s="8">
        <f>($C$22)-$D$22</f>
        <v>-0.10000000000000142</v>
      </c>
      <c r="F22" s="76">
        <v>7.6</v>
      </c>
      <c r="G22" s="8">
        <f>($C$22)-$F$22</f>
        <v>0.59999999999999964</v>
      </c>
      <c r="H22" s="25"/>
    </row>
    <row r="23" spans="1:8" x14ac:dyDescent="0.2">
      <c r="A23" s="25">
        <v>21</v>
      </c>
      <c r="B23" s="29" t="s">
        <v>68</v>
      </c>
      <c r="C23" s="30">
        <v>5.0999999999999996</v>
      </c>
      <c r="D23" s="76">
        <v>5.0999999999999996</v>
      </c>
      <c r="E23" s="8">
        <f>($C$23)-$D$23</f>
        <v>0</v>
      </c>
      <c r="F23" s="76">
        <v>5.7</v>
      </c>
      <c r="G23" s="8">
        <f>($C$23)-$F$23</f>
        <v>-0.60000000000000053</v>
      </c>
      <c r="H23" s="25"/>
    </row>
    <row r="24" spans="1:8" x14ac:dyDescent="0.2">
      <c r="A24" s="25">
        <v>22</v>
      </c>
      <c r="B24" s="29" t="s">
        <v>69</v>
      </c>
      <c r="C24" s="30">
        <v>18.2</v>
      </c>
      <c r="D24" s="76">
        <v>18.7</v>
      </c>
      <c r="E24" s="8">
        <f>($C$24)-$D$24</f>
        <v>-0.5</v>
      </c>
      <c r="F24" s="76">
        <v>19.100000000000001</v>
      </c>
      <c r="G24" s="8">
        <f>($C$24)-$F$24</f>
        <v>-0.90000000000000213</v>
      </c>
      <c r="H24" s="25"/>
    </row>
    <row r="25" spans="1:8" x14ac:dyDescent="0.2">
      <c r="A25" s="25">
        <v>23</v>
      </c>
      <c r="B25" s="29" t="s">
        <v>70</v>
      </c>
      <c r="C25" s="30">
        <v>7.5</v>
      </c>
      <c r="D25" s="76">
        <v>7.7</v>
      </c>
      <c r="E25" s="8">
        <f>($C$25)-$D$25</f>
        <v>-0.20000000000000018</v>
      </c>
      <c r="F25" s="76">
        <v>9</v>
      </c>
      <c r="G25" s="8">
        <f>($C$25)-$F$25</f>
        <v>-1.5</v>
      </c>
      <c r="H25" s="25"/>
    </row>
    <row r="26" spans="1:8" x14ac:dyDescent="0.2">
      <c r="A26" s="25">
        <v>24</v>
      </c>
      <c r="B26" s="29" t="s">
        <v>71</v>
      </c>
      <c r="C26" s="35">
        <v>2.7</v>
      </c>
      <c r="D26" s="76">
        <v>2.8</v>
      </c>
      <c r="E26" s="8">
        <f>($C$26)-$D$26</f>
        <v>-9.9999999999999645E-2</v>
      </c>
      <c r="F26" s="76">
        <v>2.7</v>
      </c>
      <c r="G26" s="8">
        <f>($C$26)-$F$26</f>
        <v>0</v>
      </c>
      <c r="H26" s="25"/>
    </row>
    <row r="27" spans="1:8" x14ac:dyDescent="0.2">
      <c r="A27" s="25">
        <v>25</v>
      </c>
      <c r="B27" s="29" t="s">
        <v>72</v>
      </c>
      <c r="C27" s="30">
        <v>9.5</v>
      </c>
      <c r="D27" s="76">
        <v>9.6999999999999993</v>
      </c>
      <c r="E27" s="8">
        <f>($C$27)-$D$27</f>
        <v>-0.19999999999999929</v>
      </c>
      <c r="F27" s="76">
        <v>10.8</v>
      </c>
      <c r="G27" s="8">
        <f>($C$27)-$F$27</f>
        <v>-1.3000000000000007</v>
      </c>
      <c r="H27" s="25"/>
    </row>
    <row r="28" spans="1:8" x14ac:dyDescent="0.2">
      <c r="A28" s="25">
        <v>26</v>
      </c>
      <c r="B28" s="29" t="s">
        <v>73</v>
      </c>
      <c r="C28" s="30">
        <v>4.3</v>
      </c>
      <c r="D28" s="76">
        <v>4.3</v>
      </c>
      <c r="E28" s="8">
        <f>($C$28)-$D$28</f>
        <v>0</v>
      </c>
      <c r="F28" s="76">
        <v>4.8</v>
      </c>
      <c r="G28" s="8">
        <f>($C$28)-$F$28</f>
        <v>-0.5</v>
      </c>
      <c r="H28" s="25"/>
    </row>
    <row r="29" spans="1:8" x14ac:dyDescent="0.2">
      <c r="A29" s="25">
        <v>27</v>
      </c>
      <c r="B29" s="29" t="s">
        <v>74</v>
      </c>
      <c r="C29" s="30">
        <v>7.1</v>
      </c>
      <c r="D29" s="77">
        <v>7.3</v>
      </c>
      <c r="E29" s="8">
        <f>($C$29)-$D$29</f>
        <v>-0.20000000000000018</v>
      </c>
      <c r="F29" s="76">
        <v>8.9</v>
      </c>
      <c r="G29" s="8">
        <f>($C$29)-$F$29</f>
        <v>-1.8000000000000007</v>
      </c>
      <c r="H29" s="25"/>
    </row>
    <row r="30" spans="1:8" x14ac:dyDescent="0.2">
      <c r="B30" s="52" t="s">
        <v>102</v>
      </c>
      <c r="E30" s="28"/>
    </row>
    <row r="31" spans="1:8" x14ac:dyDescent="0.2">
      <c r="B31" s="52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H32"/>
  <sheetViews>
    <sheetView zoomScale="80" zoomScaleNormal="80" workbookViewId="0">
      <selection activeCell="B1" sqref="B1"/>
    </sheetView>
  </sheetViews>
  <sheetFormatPr defaultRowHeight="14.25" x14ac:dyDescent="0.2"/>
  <cols>
    <col min="1" max="1" width="4" style="25" customWidth="1"/>
    <col min="2" max="2" width="7" style="3" customWidth="1"/>
    <col min="3" max="3" width="31" style="3" customWidth="1"/>
    <col min="4" max="4" width="15.5703125" style="3" customWidth="1"/>
    <col min="5" max="5" width="15.28515625" style="3" customWidth="1"/>
    <col min="6" max="6" width="17.28515625" style="3" customWidth="1"/>
    <col min="7" max="7" width="15.7109375" style="3" customWidth="1"/>
    <col min="8" max="8" width="18.28515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20"/>
      <c r="D2" s="21"/>
    </row>
    <row r="3" spans="1:8" ht="57" x14ac:dyDescent="0.2">
      <c r="B3" s="62" t="s">
        <v>88</v>
      </c>
      <c r="C3" s="55" t="str">
        <f>T('4_s.bezr.pow.'!B2)</f>
        <v>powiaty</v>
      </c>
      <c r="D3" s="55" t="str">
        <f>T('4_s.bezr.pow.'!C2)</f>
        <v>Stopa bezrobocia stan na 31 III '23 r. w proc.*</v>
      </c>
      <c r="E3" s="55" t="str">
        <f>T('4_s.bezr.pow.'!D2)</f>
        <v>Stopa bezrobocia stan na 28 II '23 r. w proc. *</v>
      </c>
      <c r="F3" s="55" t="str">
        <f>T('4_s.bezr.pow.'!E2)</f>
        <v>wzrost/spadek do poprzedniego miesiąca (pkt. proc.)</v>
      </c>
      <c r="G3" s="55" t="str">
        <f>T('4_s.bezr.pow.'!F2)</f>
        <v>Stopa bezrobocia stan na 31 III '22 r. w proc.*</v>
      </c>
      <c r="H3" s="55" t="str">
        <f>T('4_s.bezr.pow.'!G2)</f>
        <v>wzrost/spadek do analogicznego okresu ubr. (pkt. proc.)</v>
      </c>
    </row>
    <row r="4" spans="1:8" x14ac:dyDescent="0.2">
      <c r="A4" s="25">
        <v>1</v>
      </c>
      <c r="B4" s="6">
        <f>RANK('4_s.bezr.pow.'!C3,'4_s.bezr.pow.'!$C$3:'4_s.bezr.pow.'!$C$29,1)+COUNTIF('4_s.bezr.pow.'!$C$3:'4_s.bezr.pow.'!C3,'4_s.bezr.pow.'!C3)-1</f>
        <v>6</v>
      </c>
      <c r="C4" s="36" t="str">
        <f>INDEX('4_s.bezr.pow.'!B3:G29,MATCH(1,B4:B30,0),1)</f>
        <v>Powiat m.Krosno</v>
      </c>
      <c r="D4" s="28">
        <f>INDEX('4_s.bezr.pow.'!B3:G29,MATCH(1,B4:B30,0),2)</f>
        <v>2.7</v>
      </c>
      <c r="E4" s="76">
        <f>INDEX('4_s.bezr.pow.'!B3:G29,MATCH(1,B4:B30,0),3)</f>
        <v>2.8</v>
      </c>
      <c r="F4" s="24">
        <f>INDEX('4_s.bezr.pow.'!B3:G29,MATCH(1,B4:B30,0),4)</f>
        <v>-9.9999999999999645E-2</v>
      </c>
      <c r="G4" s="76">
        <f>INDEX('4_s.bezr.pow.'!B3:G29,MATCH(1,B4:B30,0),5)</f>
        <v>2.7</v>
      </c>
      <c r="H4" s="24">
        <f>INDEX('4_s.bezr.pow.'!B3:G29,MATCH(1,B4:B30,0),6)</f>
        <v>0</v>
      </c>
    </row>
    <row r="5" spans="1:8" x14ac:dyDescent="0.2">
      <c r="A5" s="25">
        <v>2</v>
      </c>
      <c r="B5" s="6">
        <f>RANK('4_s.bezr.pow.'!C4,'4_s.bezr.pow.'!$C$3:'4_s.bezr.pow.'!$C$29,1)+COUNTIF('4_s.bezr.pow.'!$C$3:'4_s.bezr.pow.'!C4,'4_s.bezr.pow.'!C4)-1</f>
        <v>13</v>
      </c>
      <c r="C5" s="5" t="str">
        <f>INDEX('4_s.bezr.pow.'!B3:G29,MATCH(2,B4:B30,0),1)</f>
        <v>Powiat m.Rzeszów</v>
      </c>
      <c r="D5" s="8">
        <f>INDEX('4_s.bezr.pow.'!B3:G29,MATCH(2,B4:B30,0),2)</f>
        <v>4.3</v>
      </c>
      <c r="E5" s="76">
        <f>INDEX('4_s.bezr.pow.'!B3:G29,MATCH(2,B4:B30,0),3)</f>
        <v>4.3</v>
      </c>
      <c r="F5" s="24">
        <f>INDEX('4_s.bezr.pow.'!B3:G29,MATCH(2,B4:B30,0),4)</f>
        <v>0</v>
      </c>
      <c r="G5" s="76">
        <f>INDEX('4_s.bezr.pow.'!B3:G29,MATCH(2,B4:B30,0),5)</f>
        <v>4.8</v>
      </c>
      <c r="H5" s="24">
        <f>INDEX('4_s.bezr.pow.'!B3:G29,MATCH(2,B4:B30,0),6)</f>
        <v>-0.5</v>
      </c>
    </row>
    <row r="6" spans="1:8" x14ac:dyDescent="0.2">
      <c r="A6" s="25">
        <v>3</v>
      </c>
      <c r="B6" s="6">
        <f>RANK('4_s.bezr.pow.'!C5,'4_s.bezr.pow.'!$C$3:'4_s.bezr.pow.'!$C$29,1)+COUNTIF('4_s.bezr.pow.'!$C$3:'4_s.bezr.pow.'!C5,'4_s.bezr.pow.'!C5)-1</f>
        <v>22</v>
      </c>
      <c r="C6" s="5" t="str">
        <f>INDEX('4_s.bezr.pow.'!B3:G29,MATCH(3,B4:B30,0),1)</f>
        <v>Powiat mielecki</v>
      </c>
      <c r="D6" s="8">
        <f>INDEX('4_s.bezr.pow.'!B3:G29,MATCH(3,B4:B30,0),2)</f>
        <v>4.7</v>
      </c>
      <c r="E6" s="76">
        <f>INDEX('4_s.bezr.pow.'!B3:G29,MATCH(3,B4:B30,0),3)</f>
        <v>4.8</v>
      </c>
      <c r="F6" s="24">
        <f>INDEX('4_s.bezr.pow.'!B3:G29,MATCH(3,B4:B30,0),4)</f>
        <v>-9.9999999999999645E-2</v>
      </c>
      <c r="G6" s="76">
        <f>INDEX('4_s.bezr.pow.'!B3:G29,MATCH(3,B4:B30,0),5)</f>
        <v>4.9000000000000004</v>
      </c>
      <c r="H6" s="24">
        <f>INDEX('4_s.bezr.pow.'!B3:G29,MATCH(3,B4:B30,0),6)</f>
        <v>-0.20000000000000018</v>
      </c>
    </row>
    <row r="7" spans="1:8" x14ac:dyDescent="0.2">
      <c r="A7" s="25">
        <v>4</v>
      </c>
      <c r="B7" s="6">
        <f>RANK('4_s.bezr.pow.'!C6,'4_s.bezr.pow.'!$C$3:'4_s.bezr.pow.'!$C$29,1)+COUNTIF('4_s.bezr.pow.'!$C$3:'4_s.bezr.pow.'!C6,'4_s.bezr.pow.'!C6)-1</f>
        <v>27</v>
      </c>
      <c r="C7" s="5" t="str">
        <f>INDEX('4_s.bezr.pow.'!B3:G29,MATCH(4,B4:B30,0),1)</f>
        <v>Powiat dębicki</v>
      </c>
      <c r="D7" s="8">
        <f>INDEX('4_s.bezr.pow.'!B3:G29,MATCH(4,B4:B30,0),2)</f>
        <v>4.9000000000000004</v>
      </c>
      <c r="E7" s="76">
        <f>INDEX('4_s.bezr.pow.'!B3:G29,MATCH(4,B4:B30,0),3)</f>
        <v>5.0999999999999996</v>
      </c>
      <c r="F7" s="24">
        <f>INDEX('4_s.bezr.pow.'!B3:G29,MATCH(4,B4:B30,0),4)</f>
        <v>-0.19999999999999929</v>
      </c>
      <c r="G7" s="76">
        <f>INDEX('4_s.bezr.pow.'!B3:G29,MATCH(4,B4:B30,0),5)</f>
        <v>5.2</v>
      </c>
      <c r="H7" s="24">
        <f>INDEX('4_s.bezr.pow.'!B3:G29,MATCH(4,B4:B30,0),6)</f>
        <v>-0.29999999999999982</v>
      </c>
    </row>
    <row r="8" spans="1:8" x14ac:dyDescent="0.2">
      <c r="A8" s="25">
        <v>5</v>
      </c>
      <c r="B8" s="6">
        <f>RANK('4_s.bezr.pow.'!C7,'4_s.bezr.pow.'!$C$3:'4_s.bezr.pow.'!$C$29,1)+COUNTIF('4_s.bezr.pow.'!$C$3:'4_s.bezr.pow.'!C7,'4_s.bezr.pow.'!C7)-1</f>
        <v>4</v>
      </c>
      <c r="C8" s="5" t="str">
        <f>INDEX('4_s.bezr.pow.'!B3:G29,MATCH(5,B4:B30,0),1)</f>
        <v>Powiat stalowowolski</v>
      </c>
      <c r="D8" s="8">
        <f>INDEX('4_s.bezr.pow.'!B3:G29,MATCH(5,B4:B30,0),2)</f>
        <v>5.0999999999999996</v>
      </c>
      <c r="E8" s="76">
        <f>INDEX('4_s.bezr.pow.'!B3:G29,MATCH(5,B4:B30,0),3)</f>
        <v>5.0999999999999996</v>
      </c>
      <c r="F8" s="24">
        <f>INDEX('4_s.bezr.pow.'!B3:G29,MATCH(5,B4:B30,0),4)</f>
        <v>0</v>
      </c>
      <c r="G8" s="76">
        <f>INDEX('4_s.bezr.pow.'!B3:G29,MATCH(5,B4:B30,0),5)</f>
        <v>5.7</v>
      </c>
      <c r="H8" s="24">
        <f>INDEX('4_s.bezr.pow.'!B3:G29,MATCH(5,B4:B30,0),6)</f>
        <v>-0.60000000000000053</v>
      </c>
    </row>
    <row r="9" spans="1:8" x14ac:dyDescent="0.2">
      <c r="A9" s="25">
        <v>6</v>
      </c>
      <c r="B9" s="6">
        <f>RANK('4_s.bezr.pow.'!C8,'4_s.bezr.pow.'!$C$3:'4_s.bezr.pow.'!$C$29,1)+COUNTIF('4_s.bezr.pow.'!$C$3:'4_s.bezr.pow.'!C8,'4_s.bezr.pow.'!C8)-1</f>
        <v>18</v>
      </c>
      <c r="C9" s="5" t="str">
        <f>INDEX('4_s.bezr.pow.'!B3:G29,MATCH(6,B4:B30,0),1)</f>
        <v>POLSKA</v>
      </c>
      <c r="D9" s="8">
        <f>INDEX('4_s.bezr.pow.'!B3:G29,MATCH(6,B4:B30,0),2)</f>
        <v>5.4</v>
      </c>
      <c r="E9" s="76">
        <f>INDEX('4_s.bezr.pow.'!B3:G29,MATCH(6,B4:B30,0),3)</f>
        <v>5.5</v>
      </c>
      <c r="F9" s="24">
        <f>INDEX('4_s.bezr.pow.'!B3:G29,MATCH(6,B4:B30,0),4)</f>
        <v>-9.9999999999999645E-2</v>
      </c>
      <c r="G9" s="76">
        <f>INDEX('4_s.bezr.pow.'!B3:G29,MATCH(6,B4:B30,0),5)</f>
        <v>5.8</v>
      </c>
      <c r="H9" s="24">
        <f>INDEX('4_s.bezr.pow.'!B3:G29,MATCH(6,B4:B30,0),6)</f>
        <v>-0.39999999999999947</v>
      </c>
    </row>
    <row r="10" spans="1:8" x14ac:dyDescent="0.2">
      <c r="A10" s="25">
        <v>7</v>
      </c>
      <c r="B10" s="6">
        <f>RANK('4_s.bezr.pow.'!C9,'4_s.bezr.pow.'!$C$3:'4_s.bezr.pow.'!$C$29,1)+COUNTIF('4_s.bezr.pow.'!$C$3:'4_s.bezr.pow.'!C9,'4_s.bezr.pow.'!C9)-1</f>
        <v>19</v>
      </c>
      <c r="C10" s="9" t="str">
        <f>INDEX('4_s.bezr.pow.'!B3:G29,MATCH(7,B4:B30,0),1)</f>
        <v>Powiat m.Tarnobrzeg</v>
      </c>
      <c r="D10" s="8">
        <f>INDEX('4_s.bezr.pow.'!B3:G29,MATCH(7,B4:B30,0),2)</f>
        <v>7.1</v>
      </c>
      <c r="E10" s="76">
        <f>INDEX('4_s.bezr.pow.'!B3:G29,MATCH(7,B4:B30,0),3)</f>
        <v>7.3</v>
      </c>
      <c r="F10" s="24">
        <f>INDEX('4_s.bezr.pow.'!B3:G29,MATCH(7,B4:B30,0),4)</f>
        <v>-0.20000000000000018</v>
      </c>
      <c r="G10" s="76">
        <f>INDEX('4_s.bezr.pow.'!B3:G29,MATCH(7,B4:B30,0),5)</f>
        <v>8.9</v>
      </c>
      <c r="H10" s="24">
        <f>INDEX('4_s.bezr.pow.'!B3:G29,MATCH(7,B4:B30,0),6)</f>
        <v>-1.8000000000000007</v>
      </c>
    </row>
    <row r="11" spans="1:8" x14ac:dyDescent="0.2">
      <c r="A11" s="25">
        <v>8</v>
      </c>
      <c r="B11" s="6">
        <f>RANK('4_s.bezr.pow.'!C10,'4_s.bezr.pow.'!$C$3:'4_s.bezr.pow.'!$C$29,1)+COUNTIF('4_s.bezr.pow.'!$C$3:'4_s.bezr.pow.'!C10,'4_s.bezr.pow.'!C10)-1</f>
        <v>12</v>
      </c>
      <c r="C11" s="5" t="str">
        <f>INDEX('4_s.bezr.pow.'!B3:G29,MATCH(8,B4:B30,0),1)</f>
        <v>Powiat tarnobrzeski</v>
      </c>
      <c r="D11" s="8">
        <f>INDEX('4_s.bezr.pow.'!B3:G29,MATCH(8,B4:B30,0),2)</f>
        <v>7.5</v>
      </c>
      <c r="E11" s="76">
        <f>INDEX('4_s.bezr.pow.'!B3:G29,MATCH(8,B4:B30,0),3)</f>
        <v>7.7</v>
      </c>
      <c r="F11" s="24">
        <f>INDEX('4_s.bezr.pow.'!B3:G29,MATCH(8,B4:B30,0),4)</f>
        <v>-0.20000000000000018</v>
      </c>
      <c r="G11" s="76">
        <f>INDEX('4_s.bezr.pow.'!B3:G29,MATCH(8,B4:B30,0),5)</f>
        <v>9</v>
      </c>
      <c r="H11" s="24">
        <f>INDEX('4_s.bezr.pow.'!B3:G29,MATCH(8,B4:B30,0),6)</f>
        <v>-1.5</v>
      </c>
    </row>
    <row r="12" spans="1:8" x14ac:dyDescent="0.2">
      <c r="A12" s="25">
        <v>9</v>
      </c>
      <c r="B12" s="6">
        <f>RANK('4_s.bezr.pow.'!C11,'4_s.bezr.pow.'!$C$3:'4_s.bezr.pow.'!$C$29,1)+COUNTIF('4_s.bezr.pow.'!$C$3:'4_s.bezr.pow.'!C11,'4_s.bezr.pow.'!C11)-1</f>
        <v>10</v>
      </c>
      <c r="C12" s="5" t="str">
        <f>INDEX('4_s.bezr.pow.'!B3:G29,MATCH(9,B4:B30,0),1)</f>
        <v>Powiat sanocki</v>
      </c>
      <c r="D12" s="8">
        <f>INDEX('4_s.bezr.pow.'!B3:G29,MATCH(9,B4:B30,0),2)</f>
        <v>8.1999999999999993</v>
      </c>
      <c r="E12" s="76">
        <f>INDEX('4_s.bezr.pow.'!B3:G29,MATCH(9,B4:B30,0),3)</f>
        <v>8.3000000000000007</v>
      </c>
      <c r="F12" s="24">
        <f>INDEX('4_s.bezr.pow.'!B3:G29,MATCH(9,B4:B30,0),4)</f>
        <v>-0.10000000000000142</v>
      </c>
      <c r="G12" s="76">
        <f>INDEX('4_s.bezr.pow.'!B3:G29,MATCH(9,B4:B30,0),5)</f>
        <v>7.6</v>
      </c>
      <c r="H12" s="24">
        <f>INDEX('4_s.bezr.pow.'!B3:G29,MATCH(9,B4:B30,0),6)</f>
        <v>0.59999999999999964</v>
      </c>
    </row>
    <row r="13" spans="1:8" x14ac:dyDescent="0.2">
      <c r="A13" s="25">
        <v>10</v>
      </c>
      <c r="B13" s="6">
        <f>RANK('4_s.bezr.pow.'!C12,'4_s.bezr.pow.'!$C$3:'4_s.bezr.pow.'!$C$29,1)+COUNTIF('4_s.bezr.pow.'!$C$3:'4_s.bezr.pow.'!C12,'4_s.bezr.pow.'!C12)-1</f>
        <v>26</v>
      </c>
      <c r="C13" s="5" t="str">
        <f>INDEX('4_s.bezr.pow.'!B3:G29,MATCH(10,B4:B30,0),1)</f>
        <v>Powiat krośnieński</v>
      </c>
      <c r="D13" s="8">
        <f>INDEX('4_s.bezr.pow.'!B3:G29,MATCH(10,B4:B30,0),2)</f>
        <v>8.5</v>
      </c>
      <c r="E13" s="76">
        <f>INDEX('4_s.bezr.pow.'!B3:G29,MATCH(10,B4:B30,0),3)</f>
        <v>8.5</v>
      </c>
      <c r="F13" s="24">
        <f>INDEX('4_s.bezr.pow.'!B3:G29,MATCH(10,B4:B30,0),4)</f>
        <v>0</v>
      </c>
      <c r="G13" s="76">
        <f>INDEX('4_s.bezr.pow.'!B3:G29,MATCH(10,B4:B30,0),5)</f>
        <v>8</v>
      </c>
      <c r="H13" s="24">
        <f>INDEX('4_s.bezr.pow.'!B3:G29,MATCH(10,B4:B30,0),6)</f>
        <v>0.5</v>
      </c>
    </row>
    <row r="14" spans="1:8" x14ac:dyDescent="0.2">
      <c r="A14" s="25">
        <v>11</v>
      </c>
      <c r="B14" s="6">
        <f>RANK('4_s.bezr.pow.'!C13,'4_s.bezr.pow.'!$C$3:'4_s.bezr.pow.'!$C$29,1)+COUNTIF('4_s.bezr.pow.'!$C$3:'4_s.bezr.pow.'!C13,'4_s.bezr.pow.'!C13)-1</f>
        <v>21</v>
      </c>
      <c r="C14" s="5" t="str">
        <f>INDEX('4_s.bezr.pow.'!B3:G29,MATCH(11,B4:B30,0),1)</f>
        <v>Powiat rzeszowski</v>
      </c>
      <c r="D14" s="8">
        <f>INDEX('4_s.bezr.pow.'!B3:G29,MATCH(11,B4:B30,0),2)</f>
        <v>8.5</v>
      </c>
      <c r="E14" s="76">
        <f>INDEX('4_s.bezr.pow.'!B3:G29,MATCH(11,B4:B30,0),3)</f>
        <v>8.8000000000000007</v>
      </c>
      <c r="F14" s="24">
        <f>INDEX('4_s.bezr.pow.'!B3:G29,MATCH(11,B4:B30,0),4)</f>
        <v>-0.30000000000000071</v>
      </c>
      <c r="G14" s="76">
        <f>INDEX('4_s.bezr.pow.'!B3:G29,MATCH(11,B4:B30,0),5)</f>
        <v>9.4</v>
      </c>
      <c r="H14" s="24">
        <f>INDEX('4_s.bezr.pow.'!B3:G29,MATCH(11,B4:B30,0),6)</f>
        <v>-0.90000000000000036</v>
      </c>
    </row>
    <row r="15" spans="1:8" x14ac:dyDescent="0.2">
      <c r="A15" s="25">
        <v>12</v>
      </c>
      <c r="B15" s="6">
        <f>RANK('4_s.bezr.pow.'!C14,'4_s.bezr.pow.'!$C$3:'4_s.bezr.pow.'!$C$29,1)+COUNTIF('4_s.bezr.pow.'!$C$3:'4_s.bezr.pow.'!C14,'4_s.bezr.pow.'!C14)-1</f>
        <v>16</v>
      </c>
      <c r="C15" s="37" t="str">
        <f>INDEX('4_s.bezr.pow.'!B3:G29,MATCH(12,B4:B30,0),1)</f>
        <v>Powiat kolbuszowski</v>
      </c>
      <c r="D15" s="8">
        <f>INDEX('4_s.bezr.pow.'!B3:G29,MATCH(12,B4:B30,0),2)</f>
        <v>8.9</v>
      </c>
      <c r="E15" s="76">
        <f>INDEX('4_s.bezr.pow.'!B3:G29,MATCH(12,B4:B30,0),3)</f>
        <v>9.1</v>
      </c>
      <c r="F15" s="24">
        <f>INDEX('4_s.bezr.pow.'!B3:G29,MATCH(12,B4:B30,0),4)</f>
        <v>-0.19999999999999929</v>
      </c>
      <c r="G15" s="76">
        <f>INDEX('4_s.bezr.pow.'!B3:G29,MATCH(12,B4:B30,0),5)</f>
        <v>9.6999999999999993</v>
      </c>
      <c r="H15" s="24">
        <f>INDEX('4_s.bezr.pow.'!B3:G29,MATCH(12,B4:B30,0),6)</f>
        <v>-0.79999999999999893</v>
      </c>
    </row>
    <row r="16" spans="1:8" x14ac:dyDescent="0.2">
      <c r="A16" s="25">
        <v>13</v>
      </c>
      <c r="B16" s="6">
        <f>RANK('4_s.bezr.pow.'!C15,'4_s.bezr.pow.'!$C$3:'4_s.bezr.pow.'!$C$29,1)+COUNTIF('4_s.bezr.pow.'!$C$3:'4_s.bezr.pow.'!C15,'4_s.bezr.pow.'!C15)-1</f>
        <v>15</v>
      </c>
      <c r="C16" s="5" t="str">
        <f>INDEX('4_s.bezr.pow.'!B3:G29,MATCH(13,B4:B30,0),1)</f>
        <v>PODKARPACKIE</v>
      </c>
      <c r="D16" s="8">
        <f>INDEX('4_s.bezr.pow.'!B3:G29,MATCH(13,B4:B30,0),2)</f>
        <v>9</v>
      </c>
      <c r="E16" s="76">
        <f>INDEX('4_s.bezr.pow.'!B3:G29,MATCH(13,B4:B30,0),3)</f>
        <v>9.1999999999999993</v>
      </c>
      <c r="F16" s="24">
        <f>INDEX('4_s.bezr.pow.'!B3:G29,MATCH(13,B4:B30,0),4)</f>
        <v>-0.19999999999999929</v>
      </c>
      <c r="G16" s="76">
        <f>INDEX('4_s.bezr.pow.'!B3:G29,MATCH(13,B4:B30,0),5)</f>
        <v>9.8000000000000007</v>
      </c>
      <c r="H16" s="24">
        <f>INDEX('4_s.bezr.pow.'!B3:G29,MATCH(13,B4:B30,0),6)</f>
        <v>-0.80000000000000071</v>
      </c>
    </row>
    <row r="17" spans="1:8" x14ac:dyDescent="0.2">
      <c r="A17" s="25">
        <v>14</v>
      </c>
      <c r="B17" s="6">
        <f>RANK('4_s.bezr.pow.'!C16,'4_s.bezr.pow.'!$C$3:'4_s.bezr.pow.'!$C$29,1)+COUNTIF('4_s.bezr.pow.'!$C$3:'4_s.bezr.pow.'!C16,'4_s.bezr.pow.'!C16)-1</f>
        <v>3</v>
      </c>
      <c r="C17" s="5" t="str">
        <f>INDEX('4_s.bezr.pow.'!B3:G29,MATCH(14,B4:B30,0),1)</f>
        <v>Powiat m.Przemyśl</v>
      </c>
      <c r="D17" s="8">
        <f>INDEX('4_s.bezr.pow.'!B3:G29,MATCH(14,B4:B30,0),2)</f>
        <v>9.5</v>
      </c>
      <c r="E17" s="76">
        <f>INDEX('4_s.bezr.pow.'!B3:G29,MATCH(14,B4:B30,0),3)</f>
        <v>9.6999999999999993</v>
      </c>
      <c r="F17" s="24">
        <f>INDEX('4_s.bezr.pow.'!B3:G29,MATCH(14,B4:B30,0),4)</f>
        <v>-0.19999999999999929</v>
      </c>
      <c r="G17" s="76">
        <f>INDEX('4_s.bezr.pow.'!B3:G29,MATCH(14,B4:B30,0),5)</f>
        <v>10.8</v>
      </c>
      <c r="H17" s="24">
        <f>INDEX('4_s.bezr.pow.'!B3:G29,MATCH(14,B4:B30,0),6)</f>
        <v>-1.3000000000000007</v>
      </c>
    </row>
    <row r="18" spans="1:8" x14ac:dyDescent="0.2">
      <c r="A18" s="25">
        <v>15</v>
      </c>
      <c r="B18" s="6">
        <f>RANK('4_s.bezr.pow.'!C17,'4_s.bezr.pow.'!$C$3:'4_s.bezr.pow.'!$C$29,1)+COUNTIF('4_s.bezr.pow.'!$C$3:'4_s.bezr.pow.'!C17,'4_s.bezr.pow.'!C17)-1</f>
        <v>24</v>
      </c>
      <c r="C18" s="5" t="str">
        <f>INDEX('4_s.bezr.pow.'!B3:G29,MATCH(15,B4:B30,0),1)</f>
        <v>Powiat łańcucki</v>
      </c>
      <c r="D18" s="8">
        <f>INDEX('4_s.bezr.pow.'!B3:G29,MATCH(15,B4:B30,0),2)</f>
        <v>10.1</v>
      </c>
      <c r="E18" s="76">
        <f>INDEX('4_s.bezr.pow.'!B3:G29,MATCH(15,B4:B30,0),3)</f>
        <v>10.6</v>
      </c>
      <c r="F18" s="24">
        <f>INDEX('4_s.bezr.pow.'!B3:G29,MATCH(15,B4:B30,0),4)</f>
        <v>-0.5</v>
      </c>
      <c r="G18" s="76">
        <f>INDEX('4_s.bezr.pow.'!B3:G29,MATCH(15,B4:B30,0),5)</f>
        <v>12.3</v>
      </c>
      <c r="H18" s="24">
        <f>INDEX('4_s.bezr.pow.'!B3:G29,MATCH(15,B4:B30,0),6)</f>
        <v>-2.2000000000000011</v>
      </c>
    </row>
    <row r="19" spans="1:8" x14ac:dyDescent="0.2">
      <c r="A19" s="25">
        <v>16</v>
      </c>
      <c r="B19" s="6">
        <f>RANK('4_s.bezr.pow.'!C18,'4_s.bezr.pow.'!$C$3:'4_s.bezr.pow.'!$C$29,1)+COUNTIF('4_s.bezr.pow.'!$C$3:'4_s.bezr.pow.'!C18,'4_s.bezr.pow.'!C18)-1</f>
        <v>23</v>
      </c>
      <c r="C19" s="5" t="str">
        <f>INDEX('4_s.bezr.pow.'!B3:G29,MATCH(16,B4:B30,0),1)</f>
        <v>Powiat lubaczowski</v>
      </c>
      <c r="D19" s="8">
        <f>INDEX('4_s.bezr.pow.'!B3:G29,MATCH(16,B4:B30,0),2)</f>
        <v>11.4</v>
      </c>
      <c r="E19" s="76">
        <f>INDEX('4_s.bezr.pow.'!B3:G29,MATCH(16,B4:B30,0),3)</f>
        <v>11.8</v>
      </c>
      <c r="F19" s="24">
        <f>INDEX('4_s.bezr.pow.'!B3:G29,MATCH(16,B4:B30,0),4)</f>
        <v>-0.40000000000000036</v>
      </c>
      <c r="G19" s="76">
        <f>INDEX('4_s.bezr.pow.'!B3:G29,MATCH(16,B4:B30,0),5)</f>
        <v>12</v>
      </c>
      <c r="H19" s="24">
        <f>INDEX('4_s.bezr.pow.'!B3:G29,MATCH(16,B4:B30,0),6)</f>
        <v>-0.59999999999999964</v>
      </c>
    </row>
    <row r="20" spans="1:8" x14ac:dyDescent="0.2">
      <c r="A20" s="25">
        <v>17</v>
      </c>
      <c r="B20" s="6">
        <f>RANK('4_s.bezr.pow.'!C19,'4_s.bezr.pow.'!$C$3:'4_s.bezr.pow.'!$C$29,1)+COUNTIF('4_s.bezr.pow.'!$C$3:'4_s.bezr.pow.'!C19,'4_s.bezr.pow.'!C19)-1</f>
        <v>20</v>
      </c>
      <c r="C20" s="5" t="str">
        <f>INDEX('4_s.bezr.pow.'!B3:G29,MATCH(17,B4:B30,0),1)</f>
        <v>Powiat ropczycko-sędziszowski</v>
      </c>
      <c r="D20" s="8">
        <f>INDEX('4_s.bezr.pow.'!B3:G29,MATCH(17,B4:B30,0),2)</f>
        <v>11.4</v>
      </c>
      <c r="E20" s="76">
        <f>INDEX('4_s.bezr.pow.'!B3:G29,MATCH(17,B4:B30,0),3)</f>
        <v>11.7</v>
      </c>
      <c r="F20" s="24">
        <f>INDEX('4_s.bezr.pow.'!B3:G29,MATCH(17,B4:B30,0),4)</f>
        <v>-0.29999999999999893</v>
      </c>
      <c r="G20" s="76">
        <f>INDEX('4_s.bezr.pow.'!B3:G29,MATCH(17,B4:B30,0),5)</f>
        <v>13</v>
      </c>
      <c r="H20" s="24">
        <f>INDEX('4_s.bezr.pow.'!B3:G29,MATCH(17,B4:B30,0),6)</f>
        <v>-1.5999999999999996</v>
      </c>
    </row>
    <row r="21" spans="1:8" x14ac:dyDescent="0.2">
      <c r="A21" s="25">
        <v>18</v>
      </c>
      <c r="B21" s="6">
        <f>RANK('4_s.bezr.pow.'!C20,'4_s.bezr.pow.'!$C$3:'4_s.bezr.pow.'!$C$29,1)+COUNTIF('4_s.bezr.pow.'!$C$3:'4_s.bezr.pow.'!C20,'4_s.bezr.pow.'!C20)-1</f>
        <v>17</v>
      </c>
      <c r="C21" s="5" t="str">
        <f>INDEX('4_s.bezr.pow.'!B3:G29,MATCH(18,B4:B30,0),1)</f>
        <v>Powiat jarosławski</v>
      </c>
      <c r="D21" s="8">
        <f>INDEX('4_s.bezr.pow.'!B3:G29,MATCH(18,B4:B30,0),2)</f>
        <v>11.5</v>
      </c>
      <c r="E21" s="76">
        <f>INDEX('4_s.bezr.pow.'!B3:G29,MATCH(18,B4:B30,0),3)</f>
        <v>12</v>
      </c>
      <c r="F21" s="24">
        <f>INDEX('4_s.bezr.pow.'!B3:G29,MATCH(18,B4:B30,0),4)</f>
        <v>-0.5</v>
      </c>
      <c r="G21" s="76">
        <f>INDEX('4_s.bezr.pow.'!B3:G29,MATCH(18,B4:B30,0),5)</f>
        <v>12.9</v>
      </c>
      <c r="H21" s="24">
        <f>INDEX('4_s.bezr.pow.'!B3:G29,MATCH(18,B4:B30,0),6)</f>
        <v>-1.4000000000000004</v>
      </c>
    </row>
    <row r="22" spans="1:8" x14ac:dyDescent="0.2">
      <c r="A22" s="25">
        <v>19</v>
      </c>
      <c r="B22" s="6">
        <f>RANK('4_s.bezr.pow.'!C21,'4_s.bezr.pow.'!$C$3:'4_s.bezr.pow.'!$C$29,1)+COUNTIF('4_s.bezr.pow.'!$C$3:'4_s.bezr.pow.'!C21,'4_s.bezr.pow.'!C21)-1</f>
        <v>11</v>
      </c>
      <c r="C22" s="5" t="str">
        <f>INDEX('4_s.bezr.pow.'!B3:G29,MATCH(19,B4:B30,0),1)</f>
        <v>Powiat jasielski</v>
      </c>
      <c r="D22" s="8">
        <f>INDEX('4_s.bezr.pow.'!B3:G29,MATCH(19,B4:B30,0),2)</f>
        <v>13.1</v>
      </c>
      <c r="E22" s="76">
        <f>INDEX('4_s.bezr.pow.'!B3:G29,MATCH(19,B4:B30,0),3)</f>
        <v>13.4</v>
      </c>
      <c r="F22" s="24">
        <f>INDEX('4_s.bezr.pow.'!B3:G29,MATCH(19,B4:B30,0),4)</f>
        <v>-0.30000000000000071</v>
      </c>
      <c r="G22" s="76">
        <f>INDEX('4_s.bezr.pow.'!B3:G29,MATCH(19,B4:B30,0),5)</f>
        <v>13.8</v>
      </c>
      <c r="H22" s="24">
        <f>INDEX('4_s.bezr.pow.'!B3:G29,MATCH(19,B4:B30,0),6)</f>
        <v>-0.70000000000000107</v>
      </c>
    </row>
    <row r="23" spans="1:8" x14ac:dyDescent="0.2">
      <c r="A23" s="25">
        <v>20</v>
      </c>
      <c r="B23" s="6">
        <f>RANK('4_s.bezr.pow.'!C22,'4_s.bezr.pow.'!$C$3:'4_s.bezr.pow.'!$C$29,1)+COUNTIF('4_s.bezr.pow.'!$C$3:'4_s.bezr.pow.'!C22,'4_s.bezr.pow.'!C22)-1</f>
        <v>9</v>
      </c>
      <c r="C23" s="5" t="str">
        <f>INDEX('4_s.bezr.pow.'!B3:G29,MATCH(20,B4:B30,0),1)</f>
        <v>Powiat przeworski</v>
      </c>
      <c r="D23" s="8">
        <f>INDEX('4_s.bezr.pow.'!B3:G29,MATCH(20,B4:B30,0),2)</f>
        <v>14.8</v>
      </c>
      <c r="E23" s="76">
        <f>INDEX('4_s.bezr.pow.'!B3:G29,MATCH(20,B4:B30,0),3)</f>
        <v>14.9</v>
      </c>
      <c r="F23" s="24">
        <f>INDEX('4_s.bezr.pow.'!B3:G29,MATCH(20,B4:B30,0),4)</f>
        <v>-9.9999999999999645E-2</v>
      </c>
      <c r="G23" s="76">
        <f>INDEX('4_s.bezr.pow.'!B3:G29,MATCH(20,B4:B30,0),5)</f>
        <v>15.6</v>
      </c>
      <c r="H23" s="24">
        <f>INDEX('4_s.bezr.pow.'!B3:G29,MATCH(20,B4:B30,0),6)</f>
        <v>-0.79999999999999893</v>
      </c>
    </row>
    <row r="24" spans="1:8" x14ac:dyDescent="0.2">
      <c r="A24" s="25">
        <v>21</v>
      </c>
      <c r="B24" s="6">
        <f>RANK('4_s.bezr.pow.'!C23,'4_s.bezr.pow.'!$C$3:'4_s.bezr.pow.'!$C$29,1)+COUNTIF('4_s.bezr.pow.'!$C$3:'4_s.bezr.pow.'!C23,'4_s.bezr.pow.'!C23)-1</f>
        <v>5</v>
      </c>
      <c r="C24" s="5" t="str">
        <f>INDEX('4_s.bezr.pow.'!B3:G29,MATCH(21,B4:B30,0),1)</f>
        <v>Powiat leżajski</v>
      </c>
      <c r="D24" s="8">
        <f>INDEX('4_s.bezr.pow.'!B3:G29,MATCH(21,B4:B30,0),2)</f>
        <v>15.4</v>
      </c>
      <c r="E24" s="76">
        <f>INDEX('4_s.bezr.pow.'!B3:G29,MATCH(21,B4:B30,0),3)</f>
        <v>15.8</v>
      </c>
      <c r="F24" s="24">
        <f>INDEX('4_s.bezr.pow.'!B3:G29,MATCH(21,B4:B30,0),4)</f>
        <v>-0.40000000000000036</v>
      </c>
      <c r="G24" s="76">
        <f>INDEX('4_s.bezr.pow.'!B3:G29,MATCH(21,B4:B30,0),5)</f>
        <v>17</v>
      </c>
      <c r="H24" s="24">
        <f>INDEX('4_s.bezr.pow.'!B3:G29,MATCH(21,B4:B30,0),6)</f>
        <v>-1.5999999999999996</v>
      </c>
    </row>
    <row r="25" spans="1:8" x14ac:dyDescent="0.2">
      <c r="A25" s="25">
        <v>22</v>
      </c>
      <c r="B25" s="6">
        <f>RANK('4_s.bezr.pow.'!C24,'4_s.bezr.pow.'!$C$3:'4_s.bezr.pow.'!$C$29,1)+COUNTIF('4_s.bezr.pow.'!$C$3:'4_s.bezr.pow.'!C24,'4_s.bezr.pow.'!C24)-1</f>
        <v>25</v>
      </c>
      <c r="C25" s="5" t="str">
        <f>INDEX('4_s.bezr.pow.'!B3:G29,MATCH(22,B4:B30,0),1)</f>
        <v>Powiat bieszczadzki</v>
      </c>
      <c r="D25" s="8">
        <f>INDEX('4_s.bezr.pow.'!B3:G29,MATCH(22,B4:B30,0),2)</f>
        <v>16.7</v>
      </c>
      <c r="E25" s="76">
        <f>INDEX('4_s.bezr.pow.'!B3:G29,MATCH(22,B4:B30,0),3)</f>
        <v>17</v>
      </c>
      <c r="F25" s="24">
        <f>INDEX('4_s.bezr.pow.'!B3:G29,MATCH(22,B4:B30,0),4)</f>
        <v>-0.30000000000000071</v>
      </c>
      <c r="G25" s="76">
        <f>INDEX('4_s.bezr.pow.'!B3:G29,MATCH(22,B4:B30,0),5)</f>
        <v>17.2</v>
      </c>
      <c r="H25" s="24">
        <f>INDEX('4_s.bezr.pow.'!B3:G29,MATCH(22,B4:B30,0),6)</f>
        <v>-0.5</v>
      </c>
    </row>
    <row r="26" spans="1:8" x14ac:dyDescent="0.2">
      <c r="A26" s="25">
        <v>23</v>
      </c>
      <c r="B26" s="6">
        <f>RANK('4_s.bezr.pow.'!C25,'4_s.bezr.pow.'!$C$3:'4_s.bezr.pow.'!$C$29,1)+COUNTIF('4_s.bezr.pow.'!$C$3:'4_s.bezr.pow.'!C25,'4_s.bezr.pow.'!C25)-1</f>
        <v>8</v>
      </c>
      <c r="C26" s="5" t="str">
        <f>INDEX('4_s.bezr.pow.'!B3:G29,MATCH(23,B4:B30,0),1)</f>
        <v>Powiat przemyski</v>
      </c>
      <c r="D26" s="8">
        <f>INDEX('4_s.bezr.pow.'!B3:G29,MATCH(23,B4:B30,0),2)</f>
        <v>17.399999999999999</v>
      </c>
      <c r="E26" s="76">
        <f>INDEX('4_s.bezr.pow.'!B3:G29,MATCH(23,B4:B30,0),3)</f>
        <v>17.899999999999999</v>
      </c>
      <c r="F26" s="24">
        <f>INDEX('4_s.bezr.pow.'!B3:G29,MATCH(23,B4:B30,0),4)</f>
        <v>-0.5</v>
      </c>
      <c r="G26" s="76">
        <f>INDEX('4_s.bezr.pow.'!B3:G29,MATCH(23,B4:B30,0),5)</f>
        <v>19.8</v>
      </c>
      <c r="H26" s="24">
        <f>INDEX('4_s.bezr.pow.'!B3:G29,MATCH(23,B4:B30,0),6)</f>
        <v>-2.4000000000000021</v>
      </c>
    </row>
    <row r="27" spans="1:8" x14ac:dyDescent="0.2">
      <c r="A27" s="25">
        <v>24</v>
      </c>
      <c r="B27" s="6">
        <f>RANK('4_s.bezr.pow.'!C26,'4_s.bezr.pow.'!$C$3:'4_s.bezr.pow.'!$C$29,1)+COUNTIF('4_s.bezr.pow.'!$C$3:'4_s.bezr.pow.'!C26,'4_s.bezr.pow.'!C26)-1</f>
        <v>1</v>
      </c>
      <c r="C27" s="5" t="str">
        <f>INDEX('4_s.bezr.pow.'!B3:G29,MATCH(24,B4:B30,0),1)</f>
        <v>Powiat niżański</v>
      </c>
      <c r="D27" s="8">
        <f>INDEX('4_s.bezr.pow.'!B3:G29,MATCH(24,B4:B30,0),2)</f>
        <v>17.7</v>
      </c>
      <c r="E27" s="76">
        <f>INDEX('4_s.bezr.pow.'!B3:G29,MATCH(24,B4:B30,0),3)</f>
        <v>18.100000000000001</v>
      </c>
      <c r="F27" s="24">
        <f>INDEX('4_s.bezr.pow.'!B3:G29,MATCH(24,B4:B30,0),4)</f>
        <v>-0.40000000000000213</v>
      </c>
      <c r="G27" s="76">
        <f>INDEX('4_s.bezr.pow.'!B3:G29,MATCH(24,B4:B30,0),5)</f>
        <v>18.8</v>
      </c>
      <c r="H27" s="24">
        <f>INDEX('4_s.bezr.pow.'!B3:G29,MATCH(24,B4:B30,0),6)</f>
        <v>-1.1000000000000014</v>
      </c>
    </row>
    <row r="28" spans="1:8" x14ac:dyDescent="0.2">
      <c r="A28" s="25">
        <v>25</v>
      </c>
      <c r="B28" s="6">
        <f>RANK('4_s.bezr.pow.'!C27,'4_s.bezr.pow.'!$C$3:'4_s.bezr.pow.'!$C$29,1)+COUNTIF('4_s.bezr.pow.'!$C$3:'4_s.bezr.pow.'!C27,'4_s.bezr.pow.'!C27)-1</f>
        <v>14</v>
      </c>
      <c r="C28" s="5" t="str">
        <f>INDEX('4_s.bezr.pow.'!B3:G29,MATCH(25,B4:B30,0),1)</f>
        <v>Powiat strzyżowski</v>
      </c>
      <c r="D28" s="8">
        <f>INDEX('4_s.bezr.pow.'!B3:G29,MATCH(25,B4:B30,0),2)</f>
        <v>18.2</v>
      </c>
      <c r="E28" s="76">
        <f>INDEX('4_s.bezr.pow.'!B3:G29,MATCH(25,B4:B30,0),3)</f>
        <v>18.7</v>
      </c>
      <c r="F28" s="24">
        <f>INDEX('4_s.bezr.pow.'!B3:G29,MATCH(25,B4:B30,0),4)</f>
        <v>-0.5</v>
      </c>
      <c r="G28" s="76">
        <f>INDEX('4_s.bezr.pow.'!B3:G29,MATCH(25,B4:B30,0),5)</f>
        <v>19.100000000000001</v>
      </c>
      <c r="H28" s="24">
        <f>INDEX('4_s.bezr.pow.'!B3:G29,MATCH(25,B4:B30,0),6)</f>
        <v>-0.90000000000000213</v>
      </c>
    </row>
    <row r="29" spans="1:8" ht="15" x14ac:dyDescent="0.25">
      <c r="A29" s="25">
        <v>26</v>
      </c>
      <c r="B29" s="22">
        <f>RANK('4_s.bezr.pow.'!C28,'4_s.bezr.pow.'!$C$3:'4_s.bezr.pow.'!$C$29,1)+COUNTIF('4_s.bezr.pow.'!$C$3:'4_s.bezr.pow.'!C28,'4_s.bezr.pow.'!C28)-1</f>
        <v>2</v>
      </c>
      <c r="C29" s="23" t="str">
        <f>INDEX('4_s.bezr.pow.'!B3:G29,MATCH(26,B4:B30,0),1)</f>
        <v>Powiat leski</v>
      </c>
      <c r="D29" s="34">
        <f>INDEX('4_s.bezr.pow.'!B3:G29,MATCH(26,B4:B30,0),2)</f>
        <v>19.899999999999999</v>
      </c>
      <c r="E29" s="72">
        <f>INDEX('4_s.bezr.pow.'!B3:G29,MATCH(26,B4:B30,0),3)</f>
        <v>20</v>
      </c>
      <c r="F29" s="38">
        <f>INDEX('4_s.bezr.pow.'!B3:G29,MATCH(26,B4:B30,0),4)</f>
        <v>-0.10000000000000142</v>
      </c>
      <c r="G29" s="72">
        <f>INDEX('4_s.bezr.pow.'!B3:G29,MATCH(26,B4:B30,0),5)</f>
        <v>19.600000000000001</v>
      </c>
      <c r="H29" s="38">
        <f>INDEX('4_s.bezr.pow.'!B3:G29,MATCH(26,B4:B30,0),6)</f>
        <v>0.29999999999999716</v>
      </c>
    </row>
    <row r="30" spans="1:8" x14ac:dyDescent="0.2">
      <c r="A30" s="25">
        <v>27</v>
      </c>
      <c r="B30" s="39">
        <f>RANK('4_s.bezr.pow.'!C29,'4_s.bezr.pow.'!$C$3:'4_s.bezr.pow.'!$C$29,1)+COUNTIF('4_s.bezr.pow.'!$C$3:'4_s.bezr.pow.'!C29,'4_s.bezr.pow.'!C29)-1</f>
        <v>7</v>
      </c>
      <c r="C30" s="40" t="str">
        <f>INDEX('4_s.bezr.pow.'!B3:G29,MATCH(27,B4:B30,0),1)</f>
        <v>Powiat brzozowski</v>
      </c>
      <c r="D30" s="8">
        <f>INDEX('4_s.bezr.pow.'!B3:G29,MATCH(27,B4:B30,0),2)</f>
        <v>20.9</v>
      </c>
      <c r="E30" s="76">
        <f>INDEX('4_s.bezr.pow.'!B3:G29,MATCH(27,B4:B30,0),3)</f>
        <v>21.5</v>
      </c>
      <c r="F30" s="8">
        <f>INDEX('4_s.bezr.pow.'!B3:G29,MATCH(27,B4:B30,0),4)</f>
        <v>-0.60000000000000142</v>
      </c>
      <c r="G30" s="76">
        <f>INDEX('4_s.bezr.pow.'!B3:G29,MATCH(27,B4:B30,0),5)</f>
        <v>21.7</v>
      </c>
      <c r="H30" s="8">
        <f>INDEX('4_s.bezr.pow.'!B3:G29,MATCH(27,B4:B30,0),6)</f>
        <v>-0.80000000000000071</v>
      </c>
    </row>
    <row r="31" spans="1:8" x14ac:dyDescent="0.2">
      <c r="C31" s="52" t="s">
        <v>102</v>
      </c>
    </row>
    <row r="32" spans="1:8" x14ac:dyDescent="0.2">
      <c r="C32" s="52"/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M28"/>
  <sheetViews>
    <sheetView zoomScale="80" zoomScaleNormal="80" workbookViewId="0">
      <selection activeCell="B1" sqref="B1"/>
    </sheetView>
  </sheetViews>
  <sheetFormatPr defaultRowHeight="14.25" x14ac:dyDescent="0.2"/>
  <cols>
    <col min="1" max="1" width="3.7109375" style="3" customWidth="1"/>
    <col min="2" max="2" width="25.28515625" style="3" customWidth="1"/>
    <col min="3" max="3" width="17.42578125" style="3" customWidth="1"/>
    <col min="4" max="4" width="17.8554687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4.5703125" style="3" customWidth="1"/>
    <col min="10" max="10" width="16" style="3" customWidth="1"/>
    <col min="11" max="11" width="17.4257812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5" t="s">
        <v>27</v>
      </c>
      <c r="C2" s="56" t="s">
        <v>120</v>
      </c>
      <c r="D2" s="57" t="s">
        <v>106</v>
      </c>
      <c r="E2" s="56" t="s">
        <v>28</v>
      </c>
      <c r="F2" s="57" t="s">
        <v>121</v>
      </c>
      <c r="G2" s="56" t="s">
        <v>26</v>
      </c>
      <c r="I2" s="55" t="s">
        <v>27</v>
      </c>
      <c r="J2" s="56" t="str">
        <f>T('1_bezr.'!C2)</f>
        <v>liczba bezrobotnych ogółem stan na 31 III '23 r.</v>
      </c>
      <c r="K2" s="56" t="str">
        <f>T(C2)</f>
        <v>liczba bezrobotnych zam. na wsi stan na 31 III '23 r.</v>
      </c>
      <c r="L2" s="56" t="s">
        <v>95</v>
      </c>
    </row>
    <row r="3" spans="1:12" x14ac:dyDescent="0.2">
      <c r="A3" s="3">
        <v>1</v>
      </c>
      <c r="B3" s="5" t="s">
        <v>0</v>
      </c>
      <c r="C3" s="13">
        <v>730</v>
      </c>
      <c r="D3" s="61">
        <v>751</v>
      </c>
      <c r="E3" s="6">
        <f t="shared" ref="E3:E23" si="0">SUM(C3)-D3</f>
        <v>-21</v>
      </c>
      <c r="F3" s="61">
        <v>756</v>
      </c>
      <c r="G3" s="6">
        <f t="shared" ref="G3:G23" si="1">SUM(C3)-F3</f>
        <v>-26</v>
      </c>
      <c r="H3" s="7"/>
      <c r="I3" s="5" t="s">
        <v>0</v>
      </c>
      <c r="J3" s="6">
        <f>SUM('1_bezr.'!C3)</f>
        <v>1142</v>
      </c>
      <c r="K3" s="6">
        <f>SUM(C3)</f>
        <v>730</v>
      </c>
      <c r="L3" s="8">
        <f t="shared" ref="L3:L23" si="2">SUM(K3)/J3*100</f>
        <v>63.922942206654987</v>
      </c>
    </row>
    <row r="4" spans="1:12" x14ac:dyDescent="0.2">
      <c r="A4" s="3">
        <v>2</v>
      </c>
      <c r="B4" s="5" t="s">
        <v>1</v>
      </c>
      <c r="C4" s="14">
        <v>3652</v>
      </c>
      <c r="D4" s="61">
        <v>3792</v>
      </c>
      <c r="E4" s="6">
        <f t="shared" si="0"/>
        <v>-140</v>
      </c>
      <c r="F4" s="61">
        <v>3841</v>
      </c>
      <c r="G4" s="6">
        <f t="shared" si="1"/>
        <v>-189</v>
      </c>
      <c r="H4" s="7"/>
      <c r="I4" s="5" t="s">
        <v>1</v>
      </c>
      <c r="J4" s="6">
        <f>SUM('1_bezr.'!C4)</f>
        <v>3977</v>
      </c>
      <c r="K4" s="6">
        <f t="shared" ref="K4:K22" si="3">SUM(C4)</f>
        <v>3652</v>
      </c>
      <c r="L4" s="8">
        <f t="shared" si="2"/>
        <v>91.82801106361579</v>
      </c>
    </row>
    <row r="5" spans="1:12" x14ac:dyDescent="0.2">
      <c r="A5" s="3">
        <v>3</v>
      </c>
      <c r="B5" s="5" t="s">
        <v>2</v>
      </c>
      <c r="C5" s="15">
        <v>1535</v>
      </c>
      <c r="D5" s="61">
        <v>1599</v>
      </c>
      <c r="E5" s="6">
        <f t="shared" si="0"/>
        <v>-64</v>
      </c>
      <c r="F5" s="61">
        <v>1554</v>
      </c>
      <c r="G5" s="6">
        <f t="shared" si="1"/>
        <v>-19</v>
      </c>
      <c r="H5" s="7"/>
      <c r="I5" s="5" t="s">
        <v>2</v>
      </c>
      <c r="J5" s="6">
        <f>SUM('1_bezr.'!C5)</f>
        <v>2536</v>
      </c>
      <c r="K5" s="6">
        <f t="shared" si="3"/>
        <v>1535</v>
      </c>
      <c r="L5" s="8">
        <f t="shared" si="2"/>
        <v>60.528391167192432</v>
      </c>
    </row>
    <row r="6" spans="1:12" x14ac:dyDescent="0.2">
      <c r="A6" s="3">
        <v>4</v>
      </c>
      <c r="B6" s="5" t="s">
        <v>3</v>
      </c>
      <c r="C6" s="15">
        <v>2851</v>
      </c>
      <c r="D6" s="61">
        <v>3038</v>
      </c>
      <c r="E6" s="6">
        <f t="shared" si="0"/>
        <v>-187</v>
      </c>
      <c r="F6" s="61">
        <v>3286</v>
      </c>
      <c r="G6" s="6">
        <f t="shared" si="1"/>
        <v>-435</v>
      </c>
      <c r="H6" s="7"/>
      <c r="I6" s="5" t="s">
        <v>3</v>
      </c>
      <c r="J6" s="6">
        <f>SUM('1_bezr.'!C6)</f>
        <v>4626</v>
      </c>
      <c r="K6" s="6">
        <f t="shared" si="3"/>
        <v>2851</v>
      </c>
      <c r="L6" s="8">
        <f t="shared" si="2"/>
        <v>61.629917855598791</v>
      </c>
    </row>
    <row r="7" spans="1:12" x14ac:dyDescent="0.2">
      <c r="A7" s="3">
        <v>5</v>
      </c>
      <c r="B7" s="5" t="s">
        <v>4</v>
      </c>
      <c r="C7" s="15">
        <v>3607</v>
      </c>
      <c r="D7" s="61">
        <v>3664</v>
      </c>
      <c r="E7" s="6">
        <f t="shared" si="0"/>
        <v>-57</v>
      </c>
      <c r="F7" s="61">
        <v>3735</v>
      </c>
      <c r="G7" s="6">
        <f t="shared" si="1"/>
        <v>-128</v>
      </c>
      <c r="H7" s="7"/>
      <c r="I7" s="5" t="s">
        <v>4</v>
      </c>
      <c r="J7" s="6">
        <f>SUM('1_bezr.'!C7)</f>
        <v>5052</v>
      </c>
      <c r="K7" s="6">
        <f t="shared" si="3"/>
        <v>3607</v>
      </c>
      <c r="L7" s="8">
        <f t="shared" si="2"/>
        <v>71.397466349960411</v>
      </c>
    </row>
    <row r="8" spans="1:12" x14ac:dyDescent="0.2">
      <c r="A8" s="3">
        <v>6</v>
      </c>
      <c r="B8" s="5" t="s">
        <v>5</v>
      </c>
      <c r="C8" s="15">
        <v>1466</v>
      </c>
      <c r="D8" s="61">
        <v>1504</v>
      </c>
      <c r="E8" s="6">
        <f t="shared" si="0"/>
        <v>-38</v>
      </c>
      <c r="F8" s="61">
        <v>1581</v>
      </c>
      <c r="G8" s="6">
        <f t="shared" si="1"/>
        <v>-115</v>
      </c>
      <c r="H8" s="7"/>
      <c r="I8" s="5" t="s">
        <v>5</v>
      </c>
      <c r="J8" s="6">
        <f>SUM('1_bezr.'!C8)</f>
        <v>1672</v>
      </c>
      <c r="K8" s="6">
        <f t="shared" si="3"/>
        <v>1466</v>
      </c>
      <c r="L8" s="8">
        <f t="shared" si="2"/>
        <v>87.679425837320579</v>
      </c>
    </row>
    <row r="9" spans="1:12" x14ac:dyDescent="0.2">
      <c r="A9" s="3">
        <v>7</v>
      </c>
      <c r="B9" s="9" t="s">
        <v>6</v>
      </c>
      <c r="C9" s="16">
        <v>2027</v>
      </c>
      <c r="D9" s="61">
        <v>2017</v>
      </c>
      <c r="E9" s="6">
        <f t="shared" si="0"/>
        <v>10</v>
      </c>
      <c r="F9" s="61">
        <v>1869</v>
      </c>
      <c r="G9" s="6">
        <f t="shared" si="1"/>
        <v>158</v>
      </c>
      <c r="H9" s="7"/>
      <c r="I9" s="9" t="s">
        <v>6</v>
      </c>
      <c r="J9" s="6">
        <f>SUM('1_bezr.'!C9)</f>
        <v>2239</v>
      </c>
      <c r="K9" s="6">
        <f t="shared" si="3"/>
        <v>2027</v>
      </c>
      <c r="L9" s="8">
        <f t="shared" si="2"/>
        <v>90.531487271103174</v>
      </c>
    </row>
    <row r="10" spans="1:12" x14ac:dyDescent="0.2">
      <c r="A10" s="3">
        <v>8</v>
      </c>
      <c r="B10" s="5" t="s">
        <v>7</v>
      </c>
      <c r="C10" s="17">
        <v>1487</v>
      </c>
      <c r="D10" s="61">
        <v>1493</v>
      </c>
      <c r="E10" s="6">
        <f t="shared" si="0"/>
        <v>-6</v>
      </c>
      <c r="F10" s="61">
        <v>1458</v>
      </c>
      <c r="G10" s="6">
        <f>SUM(C10)-F10</f>
        <v>29</v>
      </c>
      <c r="H10" s="7"/>
      <c r="I10" s="5" t="s">
        <v>7</v>
      </c>
      <c r="J10" s="6">
        <f>SUM('1_bezr.'!C10)</f>
        <v>1804</v>
      </c>
      <c r="K10" s="6">
        <f>SUM(C10)</f>
        <v>1487</v>
      </c>
      <c r="L10" s="8">
        <f t="shared" si="2"/>
        <v>82.427937915742788</v>
      </c>
    </row>
    <row r="11" spans="1:12" x14ac:dyDescent="0.2">
      <c r="A11" s="3">
        <v>9</v>
      </c>
      <c r="B11" s="5" t="s">
        <v>8</v>
      </c>
      <c r="C11" s="17">
        <v>2452</v>
      </c>
      <c r="D11" s="61">
        <v>2524</v>
      </c>
      <c r="E11" s="6">
        <f t="shared" si="0"/>
        <v>-72</v>
      </c>
      <c r="F11" s="61">
        <v>2728</v>
      </c>
      <c r="G11" s="6">
        <f t="shared" si="1"/>
        <v>-276</v>
      </c>
      <c r="H11" s="7"/>
      <c r="I11" s="5" t="s">
        <v>8</v>
      </c>
      <c r="J11" s="6">
        <f>SUM('1_bezr.'!C11)</f>
        <v>3199</v>
      </c>
      <c r="K11" s="6">
        <f t="shared" si="3"/>
        <v>2452</v>
      </c>
      <c r="L11" s="8">
        <f t="shared" si="2"/>
        <v>76.648952797749288</v>
      </c>
    </row>
    <row r="12" spans="1:12" x14ac:dyDescent="0.2">
      <c r="A12" s="3">
        <v>10</v>
      </c>
      <c r="B12" s="5" t="s">
        <v>9</v>
      </c>
      <c r="C12" s="17">
        <v>1234</v>
      </c>
      <c r="D12" s="61">
        <v>1308</v>
      </c>
      <c r="E12" s="6">
        <f t="shared" si="0"/>
        <v>-74</v>
      </c>
      <c r="F12" s="61">
        <v>1297</v>
      </c>
      <c r="G12" s="6">
        <f t="shared" si="1"/>
        <v>-63</v>
      </c>
      <c r="H12" s="7"/>
      <c r="I12" s="5" t="s">
        <v>9</v>
      </c>
      <c r="J12" s="6">
        <f>SUM('1_bezr.'!C12)</f>
        <v>1882</v>
      </c>
      <c r="K12" s="6">
        <f t="shared" si="3"/>
        <v>1234</v>
      </c>
      <c r="L12" s="8">
        <f t="shared" si="2"/>
        <v>65.568544102019132</v>
      </c>
    </row>
    <row r="13" spans="1:12" x14ac:dyDescent="0.2">
      <c r="A13" s="3">
        <v>11</v>
      </c>
      <c r="B13" s="5" t="s">
        <v>10</v>
      </c>
      <c r="C13" s="17">
        <v>2090</v>
      </c>
      <c r="D13" s="61">
        <v>2199</v>
      </c>
      <c r="E13" s="6">
        <f t="shared" si="0"/>
        <v>-109</v>
      </c>
      <c r="F13" s="61">
        <v>2632</v>
      </c>
      <c r="G13" s="6">
        <f t="shared" si="1"/>
        <v>-542</v>
      </c>
      <c r="H13" s="7"/>
      <c r="I13" s="5" t="s">
        <v>10</v>
      </c>
      <c r="J13" s="6">
        <f>SUM('1_bezr.'!C13)</f>
        <v>2671</v>
      </c>
      <c r="K13" s="6">
        <f t="shared" si="3"/>
        <v>2090</v>
      </c>
      <c r="L13" s="8">
        <f t="shared" si="2"/>
        <v>78.247847248221632</v>
      </c>
    </row>
    <row r="14" spans="1:12" x14ac:dyDescent="0.2">
      <c r="A14" s="3">
        <v>12</v>
      </c>
      <c r="B14" s="5" t="s">
        <v>11</v>
      </c>
      <c r="C14" s="17">
        <v>1366</v>
      </c>
      <c r="D14" s="61">
        <v>1403</v>
      </c>
      <c r="E14" s="6">
        <f t="shared" si="0"/>
        <v>-37</v>
      </c>
      <c r="F14" s="61">
        <v>1384</v>
      </c>
      <c r="G14" s="6">
        <f t="shared" si="1"/>
        <v>-18</v>
      </c>
      <c r="H14" s="7"/>
      <c r="I14" s="5" t="s">
        <v>11</v>
      </c>
      <c r="J14" s="6">
        <f>SUM('1_bezr.'!C14)</f>
        <v>2700</v>
      </c>
      <c r="K14" s="6">
        <f t="shared" si="3"/>
        <v>1366</v>
      </c>
      <c r="L14" s="8">
        <f t="shared" si="2"/>
        <v>50.592592592592588</v>
      </c>
    </row>
    <row r="15" spans="1:12" x14ac:dyDescent="0.2">
      <c r="A15" s="3">
        <v>13</v>
      </c>
      <c r="B15" s="5" t="s">
        <v>12</v>
      </c>
      <c r="C15" s="17">
        <v>2060</v>
      </c>
      <c r="D15" s="61">
        <v>2120</v>
      </c>
      <c r="E15" s="6">
        <f t="shared" si="0"/>
        <v>-60</v>
      </c>
      <c r="F15" s="61">
        <v>2194</v>
      </c>
      <c r="G15" s="6">
        <f t="shared" si="1"/>
        <v>-134</v>
      </c>
      <c r="H15" s="7"/>
      <c r="I15" s="5" t="s">
        <v>12</v>
      </c>
      <c r="J15" s="6">
        <f>SUM('1_bezr.'!C15)</f>
        <v>3156</v>
      </c>
      <c r="K15" s="6">
        <f t="shared" si="3"/>
        <v>2060</v>
      </c>
      <c r="L15" s="8">
        <f t="shared" si="2"/>
        <v>65.272496831432193</v>
      </c>
    </row>
    <row r="16" spans="1:12" x14ac:dyDescent="0.2">
      <c r="A16" s="3">
        <v>14</v>
      </c>
      <c r="B16" s="5" t="s">
        <v>13</v>
      </c>
      <c r="C16" s="17">
        <v>3030</v>
      </c>
      <c r="D16" s="61">
        <v>3126</v>
      </c>
      <c r="E16" s="6">
        <f t="shared" si="0"/>
        <v>-96</v>
      </c>
      <c r="F16" s="61">
        <v>3540</v>
      </c>
      <c r="G16" s="6">
        <f t="shared" si="1"/>
        <v>-510</v>
      </c>
      <c r="H16" s="7"/>
      <c r="I16" s="5" t="s">
        <v>13</v>
      </c>
      <c r="J16" s="6">
        <f>SUM('1_bezr.'!C16)</f>
        <v>3053</v>
      </c>
      <c r="K16" s="6">
        <f t="shared" si="3"/>
        <v>3030</v>
      </c>
      <c r="L16" s="8">
        <f t="shared" si="2"/>
        <v>99.246642646577129</v>
      </c>
    </row>
    <row r="17" spans="1:13" x14ac:dyDescent="0.2">
      <c r="A17" s="3">
        <v>15</v>
      </c>
      <c r="B17" s="5" t="s">
        <v>14</v>
      </c>
      <c r="C17" s="17">
        <v>2758</v>
      </c>
      <c r="D17" s="61">
        <v>2746</v>
      </c>
      <c r="E17" s="6">
        <f t="shared" si="0"/>
        <v>12</v>
      </c>
      <c r="F17" s="61">
        <v>2858</v>
      </c>
      <c r="G17" s="6">
        <f t="shared" si="1"/>
        <v>-100</v>
      </c>
      <c r="H17" s="7"/>
      <c r="I17" s="5" t="s">
        <v>14</v>
      </c>
      <c r="J17" s="6">
        <f>SUM('1_bezr.'!C17)</f>
        <v>3593</v>
      </c>
      <c r="K17" s="6">
        <f t="shared" si="3"/>
        <v>2758</v>
      </c>
      <c r="L17" s="8">
        <f t="shared" si="2"/>
        <v>76.760367381018639</v>
      </c>
      <c r="M17" s="10"/>
    </row>
    <row r="18" spans="1:13" x14ac:dyDescent="0.2">
      <c r="A18" s="3">
        <v>16</v>
      </c>
      <c r="B18" s="5" t="s">
        <v>15</v>
      </c>
      <c r="C18" s="17">
        <v>1769</v>
      </c>
      <c r="D18" s="61">
        <v>1849</v>
      </c>
      <c r="E18" s="6">
        <f t="shared" si="0"/>
        <v>-80</v>
      </c>
      <c r="F18" s="61">
        <v>2043</v>
      </c>
      <c r="G18" s="6">
        <f t="shared" si="1"/>
        <v>-274</v>
      </c>
      <c r="H18" s="7"/>
      <c r="I18" s="5" t="s">
        <v>15</v>
      </c>
      <c r="J18" s="6">
        <f>SUM('1_bezr.'!C18)</f>
        <v>2763</v>
      </c>
      <c r="K18" s="6">
        <f t="shared" si="3"/>
        <v>1769</v>
      </c>
      <c r="L18" s="8">
        <f t="shared" si="2"/>
        <v>64.024610930148384</v>
      </c>
    </row>
    <row r="19" spans="1:13" x14ac:dyDescent="0.2">
      <c r="A19" s="3">
        <v>17</v>
      </c>
      <c r="B19" s="5" t="s">
        <v>16</v>
      </c>
      <c r="C19" s="17">
        <v>3878</v>
      </c>
      <c r="D19" s="61">
        <v>4049</v>
      </c>
      <c r="E19" s="6">
        <f t="shared" si="0"/>
        <v>-171</v>
      </c>
      <c r="F19" s="61">
        <v>4396</v>
      </c>
      <c r="G19" s="6">
        <f t="shared" si="1"/>
        <v>-518</v>
      </c>
      <c r="H19" s="7"/>
      <c r="I19" s="5" t="s">
        <v>16</v>
      </c>
      <c r="J19" s="6">
        <f>SUM('1_bezr.'!C19)</f>
        <v>4917</v>
      </c>
      <c r="K19" s="6">
        <f t="shared" si="3"/>
        <v>3878</v>
      </c>
      <c r="L19" s="8">
        <f t="shared" si="2"/>
        <v>78.86922920479968</v>
      </c>
    </row>
    <row r="20" spans="1:13" x14ac:dyDescent="0.2">
      <c r="A20" s="3">
        <v>18</v>
      </c>
      <c r="B20" s="5" t="s">
        <v>17</v>
      </c>
      <c r="C20" s="17">
        <v>1601</v>
      </c>
      <c r="D20" s="61">
        <v>1635</v>
      </c>
      <c r="E20" s="6">
        <f t="shared" si="0"/>
        <v>-34</v>
      </c>
      <c r="F20" s="61">
        <v>1498</v>
      </c>
      <c r="G20" s="6">
        <f t="shared" si="1"/>
        <v>103</v>
      </c>
      <c r="H20" s="7"/>
      <c r="I20" s="5" t="s">
        <v>17</v>
      </c>
      <c r="J20" s="6">
        <f>SUM('1_bezr.'!C20)</f>
        <v>2802</v>
      </c>
      <c r="K20" s="6">
        <f t="shared" si="3"/>
        <v>1601</v>
      </c>
      <c r="L20" s="8">
        <f t="shared" si="2"/>
        <v>57.137758743754461</v>
      </c>
    </row>
    <row r="21" spans="1:13" x14ac:dyDescent="0.2">
      <c r="A21" s="3">
        <v>19</v>
      </c>
      <c r="B21" s="5" t="s">
        <v>18</v>
      </c>
      <c r="C21" s="17">
        <v>821</v>
      </c>
      <c r="D21" s="61">
        <v>840</v>
      </c>
      <c r="E21" s="6">
        <f t="shared" si="0"/>
        <v>-19</v>
      </c>
      <c r="F21" s="61">
        <v>890</v>
      </c>
      <c r="G21" s="6">
        <f t="shared" si="1"/>
        <v>-69</v>
      </c>
      <c r="H21" s="7"/>
      <c r="I21" s="5" t="s">
        <v>18</v>
      </c>
      <c r="J21" s="6">
        <f>SUM('1_bezr.'!C21)</f>
        <v>2007</v>
      </c>
      <c r="K21" s="6">
        <f t="shared" si="3"/>
        <v>821</v>
      </c>
      <c r="L21" s="8">
        <f t="shared" si="2"/>
        <v>40.906826108619832</v>
      </c>
    </row>
    <row r="22" spans="1:13" x14ac:dyDescent="0.2">
      <c r="A22" s="3">
        <v>20</v>
      </c>
      <c r="B22" s="5" t="s">
        <v>19</v>
      </c>
      <c r="C22" s="17">
        <v>2966</v>
      </c>
      <c r="D22" s="61">
        <v>3050</v>
      </c>
      <c r="E22" s="6">
        <f t="shared" si="0"/>
        <v>-84</v>
      </c>
      <c r="F22" s="61">
        <v>3122</v>
      </c>
      <c r="G22" s="6">
        <f t="shared" si="1"/>
        <v>-156</v>
      </c>
      <c r="H22" s="7"/>
      <c r="I22" s="5" t="s">
        <v>19</v>
      </c>
      <c r="J22" s="6">
        <f>SUM('1_bezr.'!C22)</f>
        <v>3311</v>
      </c>
      <c r="K22" s="6">
        <f t="shared" si="3"/>
        <v>2966</v>
      </c>
      <c r="L22" s="8">
        <f t="shared" si="2"/>
        <v>89.58018725460586</v>
      </c>
    </row>
    <row r="23" spans="1:13" x14ac:dyDescent="0.2">
      <c r="A23" s="3">
        <v>21</v>
      </c>
      <c r="B23" s="5" t="s">
        <v>20</v>
      </c>
      <c r="C23" s="17">
        <v>1065</v>
      </c>
      <c r="D23" s="61">
        <v>1119</v>
      </c>
      <c r="E23" s="6">
        <f t="shared" si="0"/>
        <v>-54</v>
      </c>
      <c r="F23" s="61">
        <v>1301</v>
      </c>
      <c r="G23" s="6">
        <f t="shared" si="1"/>
        <v>-236</v>
      </c>
      <c r="H23" s="7"/>
      <c r="I23" s="5" t="s">
        <v>20</v>
      </c>
      <c r="J23" s="6">
        <f>SUM('1_bezr.'!C23)</f>
        <v>1325</v>
      </c>
      <c r="K23" s="6">
        <f>SUM(C23)</f>
        <v>1065</v>
      </c>
      <c r="L23" s="8">
        <f t="shared" si="2"/>
        <v>80.377358490566039</v>
      </c>
    </row>
    <row r="24" spans="1:13" ht="15" x14ac:dyDescent="0.25">
      <c r="A24" s="3">
        <v>22</v>
      </c>
      <c r="B24" s="58" t="s">
        <v>25</v>
      </c>
      <c r="C24" s="59">
        <f>SUM(C3:C23)</f>
        <v>44445</v>
      </c>
      <c r="D24" s="63">
        <f>SUM(D3:D23)</f>
        <v>45826</v>
      </c>
      <c r="E24" s="59">
        <f>SUM(E3:E23)</f>
        <v>-1381</v>
      </c>
      <c r="F24" s="63">
        <f>SUM(F3:F23)</f>
        <v>47963</v>
      </c>
      <c r="G24" s="59">
        <f>SUM(G3:G23)</f>
        <v>-3518</v>
      </c>
      <c r="H24" s="7"/>
      <c r="I24" s="5" t="s">
        <v>21</v>
      </c>
      <c r="J24" s="6">
        <f>SUM('1_bezr.'!C24)</f>
        <v>778</v>
      </c>
      <c r="K24" s="11" t="s">
        <v>29</v>
      </c>
      <c r="L24" s="12" t="s">
        <v>29</v>
      </c>
    </row>
    <row r="25" spans="1:13" x14ac:dyDescent="0.2">
      <c r="C25" s="54"/>
      <c r="I25" s="5" t="s">
        <v>22</v>
      </c>
      <c r="J25" s="6">
        <f>SUM('1_bezr.'!C25)</f>
        <v>2516</v>
      </c>
      <c r="K25" s="11" t="s">
        <v>29</v>
      </c>
      <c r="L25" s="12" t="s">
        <v>29</v>
      </c>
    </row>
    <row r="26" spans="1:13" x14ac:dyDescent="0.2">
      <c r="I26" s="5" t="s">
        <v>23</v>
      </c>
      <c r="J26" s="6">
        <f>SUM('1_bezr.'!C26)</f>
        <v>5487</v>
      </c>
      <c r="K26" s="11" t="s">
        <v>29</v>
      </c>
      <c r="L26" s="12" t="s">
        <v>29</v>
      </c>
    </row>
    <row r="27" spans="1:13" x14ac:dyDescent="0.2">
      <c r="I27" s="5" t="s">
        <v>24</v>
      </c>
      <c r="J27" s="6">
        <f>SUM('1_bezr.'!C27)</f>
        <v>1125</v>
      </c>
      <c r="K27" s="11" t="s">
        <v>29</v>
      </c>
      <c r="L27" s="12" t="s">
        <v>29</v>
      </c>
    </row>
    <row r="28" spans="1:13" ht="15" x14ac:dyDescent="0.25">
      <c r="H28" s="7"/>
      <c r="I28" s="58" t="s">
        <v>25</v>
      </c>
      <c r="J28" s="59">
        <f>SUM(J3:J27)</f>
        <v>70333</v>
      </c>
      <c r="K28" s="59">
        <f>SUM(K3:K23)</f>
        <v>44445</v>
      </c>
      <c r="L28" s="75">
        <f>SUM(K28)/J28*100</f>
        <v>63.192242617263595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  <vt:lpstr>11_of st. k.</vt:lpstr>
      <vt:lpstr>11_sort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Piotr Kocaj</cp:lastModifiedBy>
  <cp:lastPrinted>2023-02-24T06:50:21Z</cp:lastPrinted>
  <dcterms:created xsi:type="dcterms:W3CDTF">2016-08-02T05:46:03Z</dcterms:created>
  <dcterms:modified xsi:type="dcterms:W3CDTF">2023-04-27T08:32:08Z</dcterms:modified>
</cp:coreProperties>
</file>