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ocaj\Desktop\publikacje\00000000 info sygn\'23\2 -'23\"/>
    </mc:Choice>
  </mc:AlternateContent>
  <xr:revisionPtr revIDLastSave="0" documentId="13_ncr:1_{0DBA22C2-1619-49E2-BE8B-A51A6EC07B98}" xr6:coauthVersionLast="47" xr6:coauthVersionMax="47" xr10:uidLastSave="{00000000-0000-0000-0000-000000000000}"/>
  <bookViews>
    <workbookView xWindow="-120" yWindow="-120" windowWidth="29040" windowHeight="15720" tabRatio="949" xr2:uid="{00000000-000D-0000-FFFF-FFFF00000000}"/>
  </bookViews>
  <sheets>
    <sheet name="1_bezr." sheetId="1" r:id="rId1"/>
    <sheet name="1_sort" sheetId="14" r:id="rId2"/>
    <sheet name="2_kob." sheetId="10" r:id="rId3"/>
    <sheet name="2_sort" sheetId="15" r:id="rId4"/>
    <sheet name="3_s.bezr.Polska" sheetId="8" r:id="rId5"/>
    <sheet name="3_sort" sheetId="16" r:id="rId6"/>
    <sheet name="4_s.bezr.pow." sheetId="13" r:id="rId7"/>
    <sheet name="4_sort" sheetId="17" r:id="rId8"/>
    <sheet name="5_bezr. na wsi" sheetId="2" r:id="rId9"/>
    <sheet name="5_sort" sheetId="18" r:id="rId10"/>
    <sheet name="6_długot." sheetId="3" r:id="rId11"/>
    <sheet name="6_sort" sheetId="19" r:id="rId12"/>
    <sheet name="7_do 30 r.ż." sheetId="4" r:id="rId13"/>
    <sheet name="7_sort" sheetId="20" r:id="rId14"/>
    <sheet name="8_pow. 50 r.ż." sheetId="5" r:id="rId15"/>
    <sheet name="8_sort" sheetId="21" r:id="rId16"/>
    <sheet name="9_oferty p." sheetId="6" r:id="rId17"/>
    <sheet name="9_sort" sheetId="22" r:id="rId18"/>
    <sheet name="10_oferty s." sheetId="11" r:id="rId19"/>
    <sheet name="10_sort" sheetId="23" r:id="rId20"/>
    <sheet name="11_of st. k." sheetId="26" r:id="rId21"/>
    <sheet name="11_sort" sheetId="27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6" l="1"/>
  <c r="F29" i="1"/>
  <c r="D24" i="2"/>
  <c r="C24" i="2"/>
  <c r="D28" i="3"/>
  <c r="H3" i="27"/>
  <c r="G3" i="27"/>
  <c r="F3" i="27"/>
  <c r="E3" i="27"/>
  <c r="D3" i="27"/>
  <c r="C3" i="27"/>
  <c r="F29" i="26"/>
  <c r="D29" i="26"/>
  <c r="C29" i="26"/>
  <c r="B27" i="27" s="1"/>
  <c r="G28" i="26"/>
  <c r="E28" i="26"/>
  <c r="G27" i="26"/>
  <c r="E27" i="26"/>
  <c r="G26" i="26"/>
  <c r="E26" i="26"/>
  <c r="G25" i="26"/>
  <c r="E25" i="26"/>
  <c r="G24" i="26"/>
  <c r="E24" i="26"/>
  <c r="G23" i="26"/>
  <c r="E23" i="26"/>
  <c r="G22" i="26"/>
  <c r="E22" i="26"/>
  <c r="G21" i="26"/>
  <c r="E21" i="26"/>
  <c r="G20" i="26"/>
  <c r="E20" i="26"/>
  <c r="G19" i="26"/>
  <c r="E19" i="26"/>
  <c r="G18" i="26"/>
  <c r="E18" i="26"/>
  <c r="G17" i="26"/>
  <c r="E17" i="26"/>
  <c r="G16" i="26"/>
  <c r="E16" i="26"/>
  <c r="G15" i="26"/>
  <c r="E15" i="26"/>
  <c r="G14" i="26"/>
  <c r="E14" i="26"/>
  <c r="G13" i="26"/>
  <c r="E13" i="26"/>
  <c r="G12" i="26"/>
  <c r="E12" i="26"/>
  <c r="G11" i="26"/>
  <c r="E11" i="26"/>
  <c r="G10" i="26"/>
  <c r="E10" i="26"/>
  <c r="G9" i="26"/>
  <c r="E9" i="26"/>
  <c r="G8" i="26"/>
  <c r="E8" i="26"/>
  <c r="G7" i="26"/>
  <c r="E7" i="26"/>
  <c r="G6" i="26"/>
  <c r="E6" i="26"/>
  <c r="G5" i="26"/>
  <c r="E5" i="26"/>
  <c r="G4" i="26"/>
  <c r="E4" i="26"/>
  <c r="F28" i="4"/>
  <c r="B12" i="27" l="1"/>
  <c r="B16" i="27"/>
  <c r="B17" i="27"/>
  <c r="B18" i="27"/>
  <c r="B24" i="27"/>
  <c r="B25" i="27"/>
  <c r="B13" i="27"/>
  <c r="B26" i="27"/>
  <c r="B14" i="27"/>
  <c r="B4" i="27"/>
  <c r="B28" i="27"/>
  <c r="B5" i="27"/>
  <c r="B29" i="27"/>
  <c r="B6" i="27"/>
  <c r="B7" i="27"/>
  <c r="B19" i="27"/>
  <c r="B8" i="27"/>
  <c r="B20" i="27"/>
  <c r="B9" i="27"/>
  <c r="B21" i="27"/>
  <c r="B10" i="27"/>
  <c r="B22" i="27"/>
  <c r="E29" i="26"/>
  <c r="G29" i="26"/>
  <c r="B11" i="27"/>
  <c r="B23" i="27"/>
  <c r="B15" i="27"/>
  <c r="E12" i="13"/>
  <c r="G12" i="13"/>
  <c r="F5" i="27" l="1"/>
  <c r="D21" i="27"/>
  <c r="E21" i="27"/>
  <c r="G5" i="27"/>
  <c r="G21" i="27"/>
  <c r="E26" i="27"/>
  <c r="D18" i="27"/>
  <c r="C21" i="27"/>
  <c r="G22" i="27"/>
  <c r="G9" i="27"/>
  <c r="E9" i="27"/>
  <c r="D5" i="27"/>
  <c r="C9" i="27"/>
  <c r="F26" i="27"/>
  <c r="D26" i="27"/>
  <c r="H18" i="27"/>
  <c r="E5" i="27"/>
  <c r="H5" i="27"/>
  <c r="G18" i="27"/>
  <c r="D9" i="27"/>
  <c r="C5" i="27"/>
  <c r="G26" i="27"/>
  <c r="F21" i="27"/>
  <c r="F18" i="27"/>
  <c r="H21" i="27"/>
  <c r="F9" i="27"/>
  <c r="C26" i="27"/>
  <c r="H26" i="27"/>
  <c r="E18" i="27"/>
  <c r="H9" i="27"/>
  <c r="H22" i="27"/>
  <c r="C22" i="27"/>
  <c r="D22" i="27"/>
  <c r="E22" i="27"/>
  <c r="F22" i="27"/>
  <c r="F16" i="27"/>
  <c r="G28" i="27"/>
  <c r="H27" i="27"/>
  <c r="C29" i="27"/>
  <c r="F25" i="27"/>
  <c r="F17" i="27"/>
  <c r="H12" i="27"/>
  <c r="G25" i="27"/>
  <c r="C17" i="27"/>
  <c r="E16" i="27"/>
  <c r="G10" i="27"/>
  <c r="H8" i="27"/>
  <c r="C25" i="27"/>
  <c r="D11" i="27"/>
  <c r="E20" i="27"/>
  <c r="D29" i="27"/>
  <c r="D8" i="27"/>
  <c r="E17" i="27"/>
  <c r="G29" i="27"/>
  <c r="F13" i="27"/>
  <c r="G7" i="27"/>
  <c r="D14" i="27"/>
  <c r="H23" i="27"/>
  <c r="G27" i="27"/>
  <c r="E11" i="27"/>
  <c r="F29" i="27"/>
  <c r="H28" i="27"/>
  <c r="E4" i="27"/>
  <c r="C19" i="27"/>
  <c r="F10" i="27"/>
  <c r="D15" i="27"/>
  <c r="C11" i="27"/>
  <c r="C28" i="27"/>
  <c r="E8" i="27"/>
  <c r="C16" i="27"/>
  <c r="E14" i="27"/>
  <c r="H11" i="27"/>
  <c r="C4" i="27"/>
  <c r="D6" i="27"/>
  <c r="F24" i="27"/>
  <c r="H19" i="27"/>
  <c r="G14" i="27"/>
  <c r="H16" i="27"/>
  <c r="H25" i="27"/>
  <c r="F6" i="27"/>
  <c r="C23" i="27"/>
  <c r="D23" i="27"/>
  <c r="G24" i="27"/>
  <c r="F12" i="27"/>
  <c r="E10" i="27"/>
  <c r="H7" i="27"/>
  <c r="G6" i="27"/>
  <c r="H4" i="27"/>
  <c r="D17" i="27"/>
  <c r="D19" i="27"/>
  <c r="H24" i="27"/>
  <c r="G16" i="27"/>
  <c r="H20" i="27"/>
  <c r="C13" i="27"/>
  <c r="F15" i="27"/>
  <c r="G12" i="27"/>
  <c r="H10" i="27"/>
  <c r="F4" i="27"/>
  <c r="D25" i="27"/>
  <c r="F23" i="27"/>
  <c r="G20" i="27"/>
  <c r="C24" i="27"/>
  <c r="D10" i="27"/>
  <c r="E19" i="27"/>
  <c r="G17" i="27"/>
  <c r="D7" i="27"/>
  <c r="D27" i="27"/>
  <c r="F7" i="27"/>
  <c r="D20" i="27"/>
  <c r="C8" i="27"/>
  <c r="F27" i="27"/>
  <c r="D28" i="27"/>
  <c r="E25" i="27"/>
  <c r="G23" i="27"/>
  <c r="C27" i="27"/>
  <c r="D13" i="27"/>
  <c r="F11" i="27"/>
  <c r="G8" i="27"/>
  <c r="C12" i="27"/>
  <c r="H14" i="27"/>
  <c r="E7" i="27"/>
  <c r="E27" i="27"/>
  <c r="H13" i="27"/>
  <c r="G13" i="27"/>
  <c r="H17" i="27"/>
  <c r="D16" i="27"/>
  <c r="E13" i="27"/>
  <c r="G11" i="27"/>
  <c r="C15" i="27"/>
  <c r="E28" i="27"/>
  <c r="D24" i="27"/>
  <c r="E29" i="27"/>
  <c r="F20" i="27"/>
  <c r="G19" i="27"/>
  <c r="G4" i="27"/>
  <c r="C10" i="27"/>
  <c r="D4" i="27"/>
  <c r="E24" i="27"/>
  <c r="H29" i="27"/>
  <c r="D12" i="27"/>
  <c r="C7" i="27"/>
  <c r="F8" i="27"/>
  <c r="E6" i="27"/>
  <c r="H15" i="27"/>
  <c r="C18" i="27"/>
  <c r="E15" i="27"/>
  <c r="E23" i="27"/>
  <c r="C20" i="27"/>
  <c r="C6" i="27"/>
  <c r="G15" i="27"/>
  <c r="F14" i="27"/>
  <c r="E12" i="27"/>
  <c r="C14" i="27"/>
  <c r="H6" i="27"/>
  <c r="F28" i="27"/>
  <c r="F19" i="27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J28" i="2" l="1"/>
  <c r="J28" i="10"/>
  <c r="F28" i="3" l="1"/>
  <c r="C28" i="3"/>
  <c r="G3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C28" i="1" l="1"/>
  <c r="B29" i="14" l="1"/>
  <c r="B4" i="14" l="1"/>
  <c r="B6" i="14"/>
  <c r="B10" i="14"/>
  <c r="B14" i="14"/>
  <c r="B18" i="14"/>
  <c r="B22" i="14"/>
  <c r="B26" i="14"/>
  <c r="B7" i="14"/>
  <c r="B11" i="14"/>
  <c r="B15" i="14"/>
  <c r="B19" i="14"/>
  <c r="B23" i="14"/>
  <c r="B27" i="14"/>
  <c r="B8" i="14"/>
  <c r="B12" i="14"/>
  <c r="B16" i="14"/>
  <c r="B20" i="14"/>
  <c r="B24" i="14"/>
  <c r="B28" i="14"/>
  <c r="B5" i="14"/>
  <c r="B9" i="14"/>
  <c r="B13" i="14"/>
  <c r="B17" i="14"/>
  <c r="B21" i="14"/>
  <c r="B25" i="14"/>
  <c r="G20" i="14" l="1"/>
  <c r="E7" i="14"/>
  <c r="E18" i="14"/>
  <c r="C22" i="14"/>
  <c r="D8" i="14"/>
  <c r="E14" i="14"/>
  <c r="C29" i="14"/>
  <c r="C13" i="14"/>
  <c r="C18" i="14"/>
  <c r="G27" i="14"/>
  <c r="G11" i="14"/>
  <c r="G28" i="14"/>
  <c r="E26" i="14"/>
  <c r="E10" i="14"/>
  <c r="C25" i="14"/>
  <c r="C9" i="14"/>
  <c r="C14" i="14"/>
  <c r="G23" i="14"/>
  <c r="G7" i="14"/>
  <c r="C17" i="14"/>
  <c r="C6" i="14"/>
  <c r="G15" i="14"/>
  <c r="E22" i="14"/>
  <c r="E6" i="14"/>
  <c r="C21" i="14"/>
  <c r="C26" i="14"/>
  <c r="C10" i="14"/>
  <c r="G19" i="14"/>
  <c r="D29" i="14"/>
  <c r="D25" i="14"/>
  <c r="D21" i="14"/>
  <c r="D17" i="14"/>
  <c r="D13" i="14"/>
  <c r="D9" i="14"/>
  <c r="D5" i="14"/>
  <c r="D6" i="14"/>
  <c r="E27" i="14"/>
  <c r="E23" i="14"/>
  <c r="E19" i="14"/>
  <c r="E15" i="14"/>
  <c r="E11" i="14"/>
  <c r="E28" i="14"/>
  <c r="E24" i="14"/>
  <c r="E20" i="14"/>
  <c r="E16" i="14"/>
  <c r="E12" i="14"/>
  <c r="E8" i="14"/>
  <c r="E4" i="14"/>
  <c r="C27" i="14"/>
  <c r="C23" i="14"/>
  <c r="C19" i="14"/>
  <c r="C15" i="14"/>
  <c r="C11" i="14"/>
  <c r="C7" i="14"/>
  <c r="G12" i="14"/>
  <c r="D26" i="14"/>
  <c r="D10" i="14"/>
  <c r="E25" i="14"/>
  <c r="G24" i="14"/>
  <c r="G16" i="14"/>
  <c r="G8" i="14"/>
  <c r="G5" i="14"/>
  <c r="D22" i="14"/>
  <c r="D18" i="14"/>
  <c r="D14" i="14"/>
  <c r="D27" i="14"/>
  <c r="D23" i="14"/>
  <c r="D19" i="14"/>
  <c r="D15" i="14"/>
  <c r="D11" i="14"/>
  <c r="D7" i="14"/>
  <c r="E5" i="14"/>
  <c r="E21" i="14"/>
  <c r="E17" i="14"/>
  <c r="E13" i="14"/>
  <c r="E9" i="14"/>
  <c r="D4" i="14"/>
  <c r="C28" i="14"/>
  <c r="C24" i="14"/>
  <c r="C20" i="14"/>
  <c r="C16" i="14"/>
  <c r="C12" i="14"/>
  <c r="C8" i="14"/>
  <c r="C4" i="14"/>
  <c r="C5" i="14"/>
  <c r="G25" i="14"/>
  <c r="G21" i="14"/>
  <c r="G17" i="14"/>
  <c r="G13" i="14"/>
  <c r="G9" i="14"/>
  <c r="G26" i="14"/>
  <c r="G22" i="14"/>
  <c r="G18" i="14"/>
  <c r="G14" i="14"/>
  <c r="G10" i="14"/>
  <c r="G6" i="14"/>
  <c r="D28" i="14"/>
  <c r="D24" i="14"/>
  <c r="D20" i="14"/>
  <c r="D16" i="14"/>
  <c r="D12" i="14"/>
  <c r="E4" i="11"/>
  <c r="G4" i="11"/>
  <c r="F28" i="10" l="1"/>
  <c r="D28" i="10" l="1"/>
  <c r="G6" i="13" l="1"/>
  <c r="E6" i="13"/>
  <c r="G27" i="10" l="1"/>
  <c r="G10" i="2" l="1"/>
  <c r="B19" i="16" l="1"/>
  <c r="D28" i="6" l="1"/>
  <c r="E27" i="10" l="1"/>
  <c r="F28" i="6" l="1"/>
  <c r="C28" i="6"/>
  <c r="C28" i="4" l="1"/>
  <c r="B30" i="17" l="1"/>
  <c r="B15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4" i="17"/>
  <c r="B13" i="17"/>
  <c r="B12" i="17"/>
  <c r="B11" i="17"/>
  <c r="B10" i="17"/>
  <c r="B9" i="17"/>
  <c r="B8" i="17"/>
  <c r="B7" i="17"/>
  <c r="B6" i="17"/>
  <c r="B5" i="17"/>
  <c r="B4" i="17"/>
  <c r="G5" i="17" l="1"/>
  <c r="G4" i="17"/>
  <c r="E30" i="17"/>
  <c r="C6" i="17"/>
  <c r="C10" i="17"/>
  <c r="C14" i="17"/>
  <c r="C18" i="17"/>
  <c r="C22" i="17"/>
  <c r="C26" i="17"/>
  <c r="C30" i="17"/>
  <c r="D7" i="17"/>
  <c r="D11" i="17"/>
  <c r="D15" i="17"/>
  <c r="D19" i="17"/>
  <c r="D23" i="17"/>
  <c r="D27" i="17"/>
  <c r="E4" i="17"/>
  <c r="E8" i="17"/>
  <c r="E12" i="17"/>
  <c r="E16" i="17"/>
  <c r="E20" i="17"/>
  <c r="E24" i="17"/>
  <c r="E28" i="17"/>
  <c r="G8" i="17"/>
  <c r="G12" i="17"/>
  <c r="G16" i="17"/>
  <c r="G20" i="17"/>
  <c r="G24" i="17"/>
  <c r="G28" i="17"/>
  <c r="G30" i="17"/>
  <c r="C7" i="17"/>
  <c r="C11" i="17"/>
  <c r="C15" i="17"/>
  <c r="C19" i="17"/>
  <c r="C23" i="17"/>
  <c r="C27" i="17"/>
  <c r="D4" i="17"/>
  <c r="D8" i="17"/>
  <c r="D12" i="17"/>
  <c r="D16" i="17"/>
  <c r="D20" i="17"/>
  <c r="D24" i="17"/>
  <c r="D28" i="17"/>
  <c r="E5" i="17"/>
  <c r="E9" i="17"/>
  <c r="E13" i="17"/>
  <c r="E17" i="17"/>
  <c r="E21" i="17"/>
  <c r="E25" i="17"/>
  <c r="E29" i="17"/>
  <c r="G9" i="17"/>
  <c r="G13" i="17"/>
  <c r="G17" i="17"/>
  <c r="G21" i="17"/>
  <c r="G25" i="17"/>
  <c r="G29" i="17"/>
  <c r="C4" i="17"/>
  <c r="C8" i="17"/>
  <c r="C12" i="17"/>
  <c r="C16" i="17"/>
  <c r="C20" i="17"/>
  <c r="C24" i="17"/>
  <c r="C28" i="17"/>
  <c r="D5" i="17"/>
  <c r="D9" i="17"/>
  <c r="D13" i="17"/>
  <c r="D17" i="17"/>
  <c r="D21" i="17"/>
  <c r="D25" i="17"/>
  <c r="D29" i="17"/>
  <c r="E6" i="17"/>
  <c r="E10" i="17"/>
  <c r="E14" i="17"/>
  <c r="E18" i="17"/>
  <c r="E22" i="17"/>
  <c r="E26" i="17"/>
  <c r="G6" i="17"/>
  <c r="G10" i="17"/>
  <c r="G14" i="17"/>
  <c r="G18" i="17"/>
  <c r="G22" i="17"/>
  <c r="G26" i="17"/>
  <c r="C5" i="17"/>
  <c r="C9" i="17"/>
  <c r="C13" i="17"/>
  <c r="C17" i="17"/>
  <c r="C21" i="17"/>
  <c r="C25" i="17"/>
  <c r="C29" i="17"/>
  <c r="D6" i="17"/>
  <c r="D10" i="17"/>
  <c r="D14" i="17"/>
  <c r="D18" i="17"/>
  <c r="D22" i="17"/>
  <c r="D26" i="17"/>
  <c r="D30" i="17"/>
  <c r="E7" i="17"/>
  <c r="E11" i="17"/>
  <c r="E15" i="17"/>
  <c r="E19" i="17"/>
  <c r="E23" i="17"/>
  <c r="E27" i="17"/>
  <c r="G7" i="17"/>
  <c r="G11" i="17"/>
  <c r="G15" i="17"/>
  <c r="G19" i="17"/>
  <c r="G23" i="17"/>
  <c r="G27" i="17"/>
  <c r="D28" i="1"/>
  <c r="E29" i="14" l="1"/>
  <c r="E28" i="1"/>
  <c r="F24" i="2"/>
  <c r="G26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C28" i="10"/>
  <c r="E28" i="10" l="1"/>
  <c r="G28" i="10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1" i="13"/>
  <c r="E10" i="13"/>
  <c r="E9" i="13"/>
  <c r="E8" i="13"/>
  <c r="E7" i="13"/>
  <c r="E5" i="13"/>
  <c r="F27" i="17" s="1"/>
  <c r="E4" i="13"/>
  <c r="E3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1" i="13"/>
  <c r="G10" i="13"/>
  <c r="G9" i="13"/>
  <c r="G8" i="13"/>
  <c r="G7" i="13"/>
  <c r="G5" i="13"/>
  <c r="G4" i="13"/>
  <c r="G3" i="13"/>
  <c r="F29" i="17" l="1"/>
  <c r="H30" i="17"/>
  <c r="H27" i="17"/>
  <c r="H26" i="17"/>
  <c r="H29" i="17"/>
  <c r="F13" i="17"/>
  <c r="F24" i="17"/>
  <c r="H4" i="17"/>
  <c r="H9" i="17"/>
  <c r="H5" i="17"/>
  <c r="H21" i="17"/>
  <c r="F20" i="17"/>
  <c r="H20" i="17"/>
  <c r="H22" i="17"/>
  <c r="H18" i="17"/>
  <c r="H14" i="17"/>
  <c r="F18" i="17"/>
  <c r="H7" i="17"/>
  <c r="F28" i="17"/>
  <c r="F12" i="17"/>
  <c r="H28" i="17"/>
  <c r="F4" i="17"/>
  <c r="H25" i="17"/>
  <c r="F25" i="17"/>
  <c r="F10" i="17"/>
  <c r="H10" i="17"/>
  <c r="F21" i="17"/>
  <c r="F9" i="17"/>
  <c r="H11" i="17"/>
  <c r="H6" i="17"/>
  <c r="F30" i="17"/>
  <c r="H15" i="17"/>
  <c r="H12" i="17"/>
  <c r="H16" i="17"/>
  <c r="H17" i="17"/>
  <c r="F19" i="17"/>
  <c r="F23" i="17"/>
  <c r="F8" i="17"/>
  <c r="H19" i="17"/>
  <c r="H23" i="17"/>
  <c r="H8" i="17"/>
  <c r="F22" i="17"/>
  <c r="F26" i="17"/>
  <c r="H13" i="17"/>
  <c r="H24" i="17"/>
  <c r="F14" i="17"/>
  <c r="F11" i="17"/>
  <c r="F17" i="17"/>
  <c r="F6" i="17"/>
  <c r="F15" i="17"/>
  <c r="F16" i="17"/>
  <c r="F7" i="17"/>
  <c r="F5" i="17"/>
  <c r="B20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G4" i="16" l="1"/>
  <c r="D10" i="16"/>
  <c r="H9" i="16"/>
  <c r="F4" i="16"/>
  <c r="D17" i="16"/>
  <c r="H5" i="16"/>
  <c r="F11" i="16"/>
  <c r="H20" i="16"/>
  <c r="D9" i="16"/>
  <c r="H17" i="16"/>
  <c r="E8" i="16"/>
  <c r="E16" i="16"/>
  <c r="F19" i="16"/>
  <c r="G10" i="16"/>
  <c r="G18" i="16"/>
  <c r="H13" i="16"/>
  <c r="C9" i="16"/>
  <c r="D18" i="16"/>
  <c r="E9" i="16"/>
  <c r="E17" i="16"/>
  <c r="F8" i="16"/>
  <c r="F16" i="16"/>
  <c r="F20" i="16"/>
  <c r="G11" i="16"/>
  <c r="G15" i="16"/>
  <c r="G19" i="16"/>
  <c r="H10" i="16"/>
  <c r="H14" i="16"/>
  <c r="H18" i="16"/>
  <c r="D7" i="16"/>
  <c r="D11" i="16"/>
  <c r="D15" i="16"/>
  <c r="D19" i="16"/>
  <c r="E6" i="16"/>
  <c r="E10" i="16"/>
  <c r="E14" i="16"/>
  <c r="E18" i="16"/>
  <c r="F5" i="16"/>
  <c r="F9" i="16"/>
  <c r="F13" i="16"/>
  <c r="F17" i="16"/>
  <c r="G8" i="16"/>
  <c r="G12" i="16"/>
  <c r="G16" i="16"/>
  <c r="G20" i="16"/>
  <c r="H7" i="16"/>
  <c r="H11" i="16"/>
  <c r="H15" i="16"/>
  <c r="H19" i="16"/>
  <c r="D5" i="16"/>
  <c r="D13" i="16"/>
  <c r="E4" i="16"/>
  <c r="E12" i="16"/>
  <c r="E20" i="16"/>
  <c r="F7" i="16"/>
  <c r="F15" i="16"/>
  <c r="G6" i="16"/>
  <c r="G14" i="16"/>
  <c r="D6" i="16"/>
  <c r="D14" i="16"/>
  <c r="E5" i="16"/>
  <c r="E13" i="16"/>
  <c r="F12" i="16"/>
  <c r="G7" i="16"/>
  <c r="H6" i="16"/>
  <c r="C14" i="16"/>
  <c r="D4" i="16"/>
  <c r="D8" i="16"/>
  <c r="D12" i="16"/>
  <c r="D16" i="16"/>
  <c r="D20" i="16"/>
  <c r="E7" i="16"/>
  <c r="E11" i="16"/>
  <c r="E15" i="16"/>
  <c r="E19" i="16"/>
  <c r="F6" i="16"/>
  <c r="F10" i="16"/>
  <c r="F14" i="16"/>
  <c r="F18" i="16"/>
  <c r="G5" i="16"/>
  <c r="G9" i="16"/>
  <c r="G13" i="16"/>
  <c r="G17" i="16"/>
  <c r="H4" i="16"/>
  <c r="H8" i="16"/>
  <c r="H12" i="16"/>
  <c r="H16" i="16"/>
  <c r="C17" i="16"/>
  <c r="C10" i="16"/>
  <c r="C18" i="16"/>
  <c r="C7" i="16"/>
  <c r="C11" i="16"/>
  <c r="C15" i="16"/>
  <c r="C19" i="16"/>
  <c r="C5" i="16"/>
  <c r="C13" i="16"/>
  <c r="C20" i="16"/>
  <c r="C6" i="16"/>
  <c r="C4" i="16"/>
  <c r="C8" i="16"/>
  <c r="C12" i="16"/>
  <c r="C16" i="16"/>
  <c r="H3" i="23"/>
  <c r="G3" i="23"/>
  <c r="F3" i="23"/>
  <c r="E3" i="23"/>
  <c r="D3" i="23"/>
  <c r="C3" i="23"/>
  <c r="H3" i="22"/>
  <c r="G3" i="22"/>
  <c r="F3" i="22"/>
  <c r="E3" i="22"/>
  <c r="D3" i="22"/>
  <c r="C3" i="22"/>
  <c r="H3" i="21"/>
  <c r="G3" i="21"/>
  <c r="F3" i="21"/>
  <c r="E3" i="21"/>
  <c r="D3" i="21"/>
  <c r="C3" i="21"/>
  <c r="H3" i="20"/>
  <c r="G3" i="20"/>
  <c r="F3" i="20"/>
  <c r="E3" i="20"/>
  <c r="D3" i="20"/>
  <c r="C3" i="20"/>
  <c r="H3" i="19"/>
  <c r="G3" i="19"/>
  <c r="F3" i="19"/>
  <c r="E3" i="19"/>
  <c r="D3" i="19"/>
  <c r="C3" i="19"/>
  <c r="H3" i="17"/>
  <c r="G3" i="17"/>
  <c r="F3" i="17"/>
  <c r="E3" i="17"/>
  <c r="D3" i="17"/>
  <c r="C3" i="17"/>
  <c r="H3" i="16"/>
  <c r="G3" i="16"/>
  <c r="F3" i="16"/>
  <c r="E3" i="16"/>
  <c r="D3" i="16"/>
  <c r="C3" i="16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H3" i="18"/>
  <c r="G3" i="18"/>
  <c r="F3" i="18"/>
  <c r="E3" i="18"/>
  <c r="D3" i="18"/>
  <c r="C3" i="18"/>
  <c r="H3" i="15"/>
  <c r="G3" i="15"/>
  <c r="F3" i="15"/>
  <c r="E3" i="15"/>
  <c r="D3" i="15"/>
  <c r="C3" i="15"/>
  <c r="H3" i="14"/>
  <c r="G3" i="14"/>
  <c r="F3" i="14"/>
  <c r="E3" i="14"/>
  <c r="D3" i="14"/>
  <c r="C3" i="14"/>
  <c r="C19" i="15" l="1"/>
  <c r="D26" i="15"/>
  <c r="D22" i="15"/>
  <c r="D18" i="15"/>
  <c r="D14" i="15"/>
  <c r="D10" i="15"/>
  <c r="D6" i="15"/>
  <c r="D29" i="15"/>
  <c r="D21" i="15"/>
  <c r="D13" i="15"/>
  <c r="D5" i="15"/>
  <c r="D27" i="15"/>
  <c r="D23" i="15"/>
  <c r="D19" i="15"/>
  <c r="D15" i="15"/>
  <c r="D11" i="15"/>
  <c r="D7" i="15"/>
  <c r="D25" i="15"/>
  <c r="D17" i="15"/>
  <c r="D9" i="15"/>
  <c r="D20" i="15"/>
  <c r="D4" i="15"/>
  <c r="D16" i="15"/>
  <c r="D28" i="15"/>
  <c r="D12" i="15"/>
  <c r="D24" i="15"/>
  <c r="D8" i="15"/>
  <c r="E4" i="15"/>
  <c r="H5" i="15"/>
  <c r="F29" i="15"/>
  <c r="G29" i="15"/>
  <c r="F5" i="15"/>
  <c r="C4" i="15"/>
  <c r="G4" i="15"/>
  <c r="E6" i="15"/>
  <c r="F7" i="15"/>
  <c r="C8" i="15"/>
  <c r="G8" i="15"/>
  <c r="H9" i="15"/>
  <c r="E10" i="15"/>
  <c r="F11" i="15"/>
  <c r="C12" i="15"/>
  <c r="G12" i="15"/>
  <c r="H13" i="15"/>
  <c r="E14" i="15"/>
  <c r="F15" i="15"/>
  <c r="C16" i="15"/>
  <c r="G16" i="15"/>
  <c r="H17" i="15"/>
  <c r="E18" i="15"/>
  <c r="F19" i="15"/>
  <c r="C20" i="15"/>
  <c r="G20" i="15"/>
  <c r="H21" i="15"/>
  <c r="E22" i="15"/>
  <c r="F23" i="15"/>
  <c r="C24" i="15"/>
  <c r="G24" i="15"/>
  <c r="H25" i="15"/>
  <c r="E26" i="15"/>
  <c r="F27" i="15"/>
  <c r="C28" i="15"/>
  <c r="G28" i="15"/>
  <c r="H29" i="15"/>
  <c r="H4" i="15"/>
  <c r="E5" i="15"/>
  <c r="F6" i="15"/>
  <c r="C7" i="15"/>
  <c r="G7" i="15"/>
  <c r="H8" i="15"/>
  <c r="E9" i="15"/>
  <c r="F10" i="15"/>
  <c r="C11" i="15"/>
  <c r="G11" i="15"/>
  <c r="H12" i="15"/>
  <c r="E13" i="15"/>
  <c r="F14" i="15"/>
  <c r="C15" i="15"/>
  <c r="G15" i="15"/>
  <c r="H16" i="15"/>
  <c r="E17" i="15"/>
  <c r="F18" i="15"/>
  <c r="G19" i="15"/>
  <c r="H20" i="15"/>
  <c r="E21" i="15"/>
  <c r="F22" i="15"/>
  <c r="C23" i="15"/>
  <c r="G23" i="15"/>
  <c r="H24" i="15"/>
  <c r="E25" i="15"/>
  <c r="F26" i="15"/>
  <c r="C27" i="15"/>
  <c r="G27" i="15"/>
  <c r="H28" i="15"/>
  <c r="E29" i="15"/>
  <c r="C6" i="15"/>
  <c r="G6" i="15"/>
  <c r="H7" i="15"/>
  <c r="E8" i="15"/>
  <c r="F9" i="15"/>
  <c r="C10" i="15"/>
  <c r="G10" i="15"/>
  <c r="H11" i="15"/>
  <c r="E12" i="15"/>
  <c r="F13" i="15"/>
  <c r="C14" i="15"/>
  <c r="G14" i="15"/>
  <c r="H15" i="15"/>
  <c r="E16" i="15"/>
  <c r="F17" i="15"/>
  <c r="C18" i="15"/>
  <c r="G18" i="15"/>
  <c r="H19" i="15"/>
  <c r="E20" i="15"/>
  <c r="F21" i="15"/>
  <c r="C22" i="15"/>
  <c r="G22" i="15"/>
  <c r="H23" i="15"/>
  <c r="E24" i="15"/>
  <c r="F25" i="15"/>
  <c r="C26" i="15"/>
  <c r="G26" i="15"/>
  <c r="H27" i="15"/>
  <c r="E28" i="15"/>
  <c r="F4" i="15"/>
  <c r="C5" i="15"/>
  <c r="G5" i="15"/>
  <c r="H6" i="15"/>
  <c r="E7" i="15"/>
  <c r="F8" i="15"/>
  <c r="C9" i="15"/>
  <c r="G9" i="15"/>
  <c r="H10" i="15"/>
  <c r="E11" i="15"/>
  <c r="F12" i="15"/>
  <c r="C13" i="15"/>
  <c r="G13" i="15"/>
  <c r="H14" i="15"/>
  <c r="E15" i="15"/>
  <c r="F16" i="15"/>
  <c r="C17" i="15"/>
  <c r="G17" i="15"/>
  <c r="H18" i="15"/>
  <c r="E19" i="15"/>
  <c r="F20" i="15"/>
  <c r="C21" i="15"/>
  <c r="G21" i="15"/>
  <c r="H22" i="15"/>
  <c r="E23" i="15"/>
  <c r="F24" i="15"/>
  <c r="C25" i="15"/>
  <c r="G25" i="15"/>
  <c r="H26" i="15"/>
  <c r="E27" i="15"/>
  <c r="F28" i="15"/>
  <c r="C29" i="15"/>
  <c r="F28" i="1" l="1"/>
  <c r="G28" i="1" s="1"/>
  <c r="G29" i="14" l="1"/>
  <c r="G4" i="14"/>
  <c r="B29" i="19"/>
  <c r="B25" i="19"/>
  <c r="B21" i="19"/>
  <c r="B17" i="19"/>
  <c r="B13" i="19"/>
  <c r="B9" i="19"/>
  <c r="B5" i="19"/>
  <c r="B28" i="19"/>
  <c r="B24" i="19"/>
  <c r="B20" i="19"/>
  <c r="B16" i="19"/>
  <c r="B12" i="19"/>
  <c r="B8" i="19"/>
  <c r="B27" i="19"/>
  <c r="B23" i="19"/>
  <c r="B19" i="19"/>
  <c r="B15" i="19"/>
  <c r="B11" i="19"/>
  <c r="B7" i="19"/>
  <c r="B26" i="19"/>
  <c r="B22" i="19"/>
  <c r="B18" i="19"/>
  <c r="B14" i="19"/>
  <c r="B10" i="19"/>
  <c r="B6" i="19"/>
  <c r="B4" i="19"/>
  <c r="B23" i="18"/>
  <c r="B19" i="18"/>
  <c r="B15" i="18"/>
  <c r="B11" i="18"/>
  <c r="B7" i="18"/>
  <c r="B22" i="18"/>
  <c r="B18" i="18"/>
  <c r="B14" i="18"/>
  <c r="B10" i="18"/>
  <c r="B6" i="18"/>
  <c r="B4" i="18"/>
  <c r="B25" i="18"/>
  <c r="B21" i="18"/>
  <c r="B17" i="18"/>
  <c r="B13" i="18"/>
  <c r="B9" i="18"/>
  <c r="B5" i="18"/>
  <c r="B24" i="18"/>
  <c r="B20" i="18"/>
  <c r="B16" i="18"/>
  <c r="B12" i="18"/>
  <c r="B8" i="18"/>
  <c r="F29" i="14"/>
  <c r="H29" i="14"/>
  <c r="D26" i="19" l="1"/>
  <c r="D22" i="19"/>
  <c r="D18" i="19"/>
  <c r="D14" i="19"/>
  <c r="D10" i="19"/>
  <c r="D6" i="19"/>
  <c r="D29" i="19"/>
  <c r="D21" i="19"/>
  <c r="D13" i="19"/>
  <c r="D5" i="19"/>
  <c r="D27" i="19"/>
  <c r="D23" i="19"/>
  <c r="D19" i="19"/>
  <c r="D15" i="19"/>
  <c r="D11" i="19"/>
  <c r="D7" i="19"/>
  <c r="D25" i="19"/>
  <c r="D17" i="19"/>
  <c r="D9" i="19"/>
  <c r="D20" i="19"/>
  <c r="D4" i="19"/>
  <c r="D16" i="19"/>
  <c r="D28" i="19"/>
  <c r="D12" i="19"/>
  <c r="D24" i="19"/>
  <c r="D8" i="19"/>
  <c r="D24" i="18"/>
  <c r="D20" i="18"/>
  <c r="D16" i="18"/>
  <c r="D12" i="18"/>
  <c r="D8" i="18"/>
  <c r="D4" i="18"/>
  <c r="D19" i="18"/>
  <c r="D11" i="18"/>
  <c r="D25" i="18"/>
  <c r="D21" i="18"/>
  <c r="D17" i="18"/>
  <c r="D13" i="18"/>
  <c r="D9" i="18"/>
  <c r="D5" i="18"/>
  <c r="D23" i="18"/>
  <c r="D15" i="18"/>
  <c r="D7" i="18"/>
  <c r="D14" i="18"/>
  <c r="D10" i="18"/>
  <c r="D22" i="18"/>
  <c r="D6" i="18"/>
  <c r="D18" i="18"/>
  <c r="C6" i="19"/>
  <c r="G19" i="19"/>
  <c r="C27" i="19"/>
  <c r="G18" i="19"/>
  <c r="C5" i="19"/>
  <c r="E7" i="19"/>
  <c r="C13" i="19"/>
  <c r="E15" i="19"/>
  <c r="C21" i="19"/>
  <c r="E23" i="19"/>
  <c r="C29" i="19"/>
  <c r="E5" i="19"/>
  <c r="C15" i="19"/>
  <c r="E17" i="19"/>
  <c r="G23" i="19"/>
  <c r="G22" i="19"/>
  <c r="G4" i="19"/>
  <c r="G12" i="19"/>
  <c r="G20" i="19"/>
  <c r="G28" i="19"/>
  <c r="E24" i="19"/>
  <c r="C10" i="19"/>
  <c r="E12" i="19"/>
  <c r="C26" i="19"/>
  <c r="E28" i="19"/>
  <c r="G5" i="19"/>
  <c r="G13" i="19"/>
  <c r="G21" i="19"/>
  <c r="G29" i="19"/>
  <c r="C7" i="19"/>
  <c r="E9" i="19"/>
  <c r="G15" i="19"/>
  <c r="E25" i="19"/>
  <c r="C14" i="19"/>
  <c r="E16" i="19"/>
  <c r="C8" i="19"/>
  <c r="E10" i="19"/>
  <c r="C16" i="19"/>
  <c r="E18" i="19"/>
  <c r="C24" i="19"/>
  <c r="E26" i="19"/>
  <c r="G6" i="19"/>
  <c r="C11" i="19"/>
  <c r="E13" i="19"/>
  <c r="E29" i="19"/>
  <c r="G10" i="19"/>
  <c r="G26" i="19"/>
  <c r="C9" i="19"/>
  <c r="E11" i="19"/>
  <c r="C17" i="19"/>
  <c r="E19" i="19"/>
  <c r="C25" i="19"/>
  <c r="E27" i="19"/>
  <c r="G7" i="19"/>
  <c r="G14" i="19"/>
  <c r="G8" i="19"/>
  <c r="G16" i="19"/>
  <c r="G24" i="19"/>
  <c r="G11" i="19"/>
  <c r="C19" i="19"/>
  <c r="E21" i="19"/>
  <c r="E4" i="19"/>
  <c r="C18" i="19"/>
  <c r="E20" i="19"/>
  <c r="G9" i="19"/>
  <c r="G17" i="19"/>
  <c r="G25" i="19"/>
  <c r="C23" i="19"/>
  <c r="G27" i="19"/>
  <c r="E8" i="19"/>
  <c r="C22" i="19"/>
  <c r="C4" i="19"/>
  <c r="E6" i="19"/>
  <c r="C12" i="19"/>
  <c r="E14" i="19"/>
  <c r="C20" i="19"/>
  <c r="E22" i="19"/>
  <c r="C28" i="19"/>
  <c r="C4" i="18"/>
  <c r="C8" i="18"/>
  <c r="E10" i="18"/>
  <c r="C16" i="18"/>
  <c r="E18" i="18"/>
  <c r="C24" i="18"/>
  <c r="C7" i="18"/>
  <c r="E9" i="18"/>
  <c r="C15" i="18"/>
  <c r="E17" i="18"/>
  <c r="C23" i="18"/>
  <c r="E25" i="18"/>
  <c r="C10" i="18"/>
  <c r="E12" i="18"/>
  <c r="C18" i="18"/>
  <c r="E20" i="18"/>
  <c r="G9" i="18"/>
  <c r="G17" i="18"/>
  <c r="G25" i="18"/>
  <c r="G8" i="18"/>
  <c r="G16" i="18"/>
  <c r="G24" i="18"/>
  <c r="G7" i="18"/>
  <c r="G15" i="18"/>
  <c r="G23" i="18"/>
  <c r="G10" i="18"/>
  <c r="G18" i="18"/>
  <c r="C5" i="18"/>
  <c r="E7" i="18"/>
  <c r="C13" i="18"/>
  <c r="E15" i="18"/>
  <c r="C21" i="18"/>
  <c r="E23" i="18"/>
  <c r="E4" i="18"/>
  <c r="E6" i="18"/>
  <c r="C12" i="18"/>
  <c r="E14" i="18"/>
  <c r="C20" i="18"/>
  <c r="E22" i="18"/>
  <c r="E5" i="18"/>
  <c r="C11" i="18"/>
  <c r="E13" i="18"/>
  <c r="C19" i="18"/>
  <c r="E21" i="18"/>
  <c r="C6" i="18"/>
  <c r="E8" i="18"/>
  <c r="C14" i="18"/>
  <c r="E16" i="18"/>
  <c r="C22" i="18"/>
  <c r="E24" i="18"/>
  <c r="G5" i="18"/>
  <c r="G13" i="18"/>
  <c r="G21" i="18"/>
  <c r="G4" i="18"/>
  <c r="G12" i="18"/>
  <c r="G20" i="18"/>
  <c r="G11" i="18"/>
  <c r="G19" i="18"/>
  <c r="G6" i="18"/>
  <c r="G14" i="18"/>
  <c r="G22" i="18"/>
  <c r="C9" i="18"/>
  <c r="E11" i="18"/>
  <c r="C17" i="18"/>
  <c r="E19" i="18"/>
  <c r="C25" i="18"/>
  <c r="F29" i="11"/>
  <c r="D29" i="11"/>
  <c r="C29" i="11"/>
  <c r="G28" i="11"/>
  <c r="E28" i="11"/>
  <c r="G27" i="11"/>
  <c r="E27" i="11"/>
  <c r="G26" i="11"/>
  <c r="E26" i="11"/>
  <c r="G25" i="11"/>
  <c r="E25" i="11"/>
  <c r="G24" i="11"/>
  <c r="E24" i="11"/>
  <c r="G23" i="11"/>
  <c r="E23" i="11"/>
  <c r="G22" i="11"/>
  <c r="E22" i="11"/>
  <c r="G21" i="11"/>
  <c r="E21" i="11"/>
  <c r="G20" i="11"/>
  <c r="E20" i="11"/>
  <c r="G19" i="11"/>
  <c r="E19" i="11"/>
  <c r="G18" i="11"/>
  <c r="E18" i="11"/>
  <c r="G17" i="11"/>
  <c r="E17" i="11"/>
  <c r="G16" i="11"/>
  <c r="E16" i="11"/>
  <c r="G15" i="11"/>
  <c r="E15" i="11"/>
  <c r="G14" i="11"/>
  <c r="E14" i="11"/>
  <c r="G13" i="11"/>
  <c r="E13" i="11"/>
  <c r="G12" i="11"/>
  <c r="E12" i="11"/>
  <c r="G11" i="11"/>
  <c r="E11" i="11"/>
  <c r="G10" i="11"/>
  <c r="E10" i="11"/>
  <c r="G9" i="11"/>
  <c r="E9" i="11"/>
  <c r="G8" i="11"/>
  <c r="E8" i="11"/>
  <c r="G7" i="11"/>
  <c r="E7" i="11"/>
  <c r="G6" i="11"/>
  <c r="E6" i="11"/>
  <c r="G5" i="11"/>
  <c r="E5" i="11"/>
  <c r="B27" i="23" l="1"/>
  <c r="B23" i="23"/>
  <c r="B19" i="23"/>
  <c r="B15" i="23"/>
  <c r="B11" i="23"/>
  <c r="B7" i="23"/>
  <c r="B26" i="23"/>
  <c r="B22" i="23"/>
  <c r="B18" i="23"/>
  <c r="B14" i="23"/>
  <c r="B10" i="23"/>
  <c r="B6" i="23"/>
  <c r="B29" i="23"/>
  <c r="B25" i="23"/>
  <c r="B21" i="23"/>
  <c r="B17" i="23"/>
  <c r="B13" i="23"/>
  <c r="B9" i="23"/>
  <c r="B5" i="23"/>
  <c r="B28" i="23"/>
  <c r="B24" i="23"/>
  <c r="B20" i="23"/>
  <c r="B16" i="23"/>
  <c r="B12" i="23"/>
  <c r="B8" i="23"/>
  <c r="B4" i="23"/>
  <c r="E29" i="11"/>
  <c r="G29" i="11"/>
  <c r="D28" i="5"/>
  <c r="D29" i="23" l="1"/>
  <c r="D25" i="23"/>
  <c r="D21" i="23"/>
  <c r="D17" i="23"/>
  <c r="D13" i="23"/>
  <c r="D9" i="23"/>
  <c r="D5" i="23"/>
  <c r="D24" i="23"/>
  <c r="D20" i="23"/>
  <c r="D16" i="23"/>
  <c r="D12" i="23"/>
  <c r="D8" i="23"/>
  <c r="D4" i="23"/>
  <c r="D19" i="23"/>
  <c r="D15" i="23"/>
  <c r="D28" i="23"/>
  <c r="D27" i="23"/>
  <c r="D26" i="23"/>
  <c r="D22" i="23"/>
  <c r="D18" i="23"/>
  <c r="D14" i="23"/>
  <c r="D10" i="23"/>
  <c r="D6" i="23"/>
  <c r="D23" i="23"/>
  <c r="D11" i="23"/>
  <c r="D7" i="23"/>
  <c r="G5" i="23"/>
  <c r="F8" i="23"/>
  <c r="C25" i="23"/>
  <c r="E27" i="23"/>
  <c r="C8" i="23"/>
  <c r="H13" i="23"/>
  <c r="G24" i="23"/>
  <c r="F27" i="23"/>
  <c r="E5" i="23"/>
  <c r="C11" i="23"/>
  <c r="E13" i="23"/>
  <c r="C19" i="23"/>
  <c r="E21" i="23"/>
  <c r="C27" i="23"/>
  <c r="E29" i="23"/>
  <c r="H10" i="23"/>
  <c r="G13" i="23"/>
  <c r="F20" i="23"/>
  <c r="H22" i="23"/>
  <c r="G4" i="23"/>
  <c r="G8" i="23"/>
  <c r="F11" i="23"/>
  <c r="C20" i="23"/>
  <c r="E22" i="23"/>
  <c r="E4" i="23"/>
  <c r="C10" i="23"/>
  <c r="E12" i="23"/>
  <c r="C18" i="23"/>
  <c r="E20" i="23"/>
  <c r="C26" i="23"/>
  <c r="E28" i="23"/>
  <c r="F29" i="23"/>
  <c r="F16" i="23"/>
  <c r="H18" i="23"/>
  <c r="G25" i="23"/>
  <c r="F28" i="23"/>
  <c r="C12" i="23"/>
  <c r="E14" i="23"/>
  <c r="H29" i="23"/>
  <c r="F6" i="23"/>
  <c r="H8" i="23"/>
  <c r="G11" i="23"/>
  <c r="F14" i="23"/>
  <c r="H16" i="23"/>
  <c r="G19" i="23"/>
  <c r="F22" i="23"/>
  <c r="H24" i="23"/>
  <c r="G27" i="23"/>
  <c r="C9" i="23"/>
  <c r="E11" i="23"/>
  <c r="C21" i="23"/>
  <c r="E23" i="23"/>
  <c r="F15" i="23"/>
  <c r="H17" i="23"/>
  <c r="G20" i="23"/>
  <c r="C28" i="23"/>
  <c r="F5" i="23"/>
  <c r="H7" i="23"/>
  <c r="G10" i="23"/>
  <c r="F13" i="23"/>
  <c r="H15" i="23"/>
  <c r="G18" i="23"/>
  <c r="F21" i="23"/>
  <c r="H23" i="23"/>
  <c r="G26" i="23"/>
  <c r="H11" i="23"/>
  <c r="H19" i="23"/>
  <c r="G22" i="23"/>
  <c r="H27" i="23"/>
  <c r="F4" i="23"/>
  <c r="H6" i="23"/>
  <c r="C17" i="23"/>
  <c r="E19" i="23"/>
  <c r="G29" i="23"/>
  <c r="G12" i="23"/>
  <c r="F23" i="23"/>
  <c r="H25" i="23"/>
  <c r="C7" i="23"/>
  <c r="E9" i="23"/>
  <c r="C15" i="23"/>
  <c r="E17" i="23"/>
  <c r="C23" i="23"/>
  <c r="E25" i="23"/>
  <c r="G9" i="23"/>
  <c r="F12" i="23"/>
  <c r="H14" i="23"/>
  <c r="G21" i="23"/>
  <c r="C29" i="23"/>
  <c r="H5" i="23"/>
  <c r="H9" i="23"/>
  <c r="C16" i="23"/>
  <c r="E18" i="23"/>
  <c r="G28" i="23"/>
  <c r="C6" i="23"/>
  <c r="E8" i="23"/>
  <c r="C14" i="23"/>
  <c r="E16" i="23"/>
  <c r="C22" i="23"/>
  <c r="E24" i="23"/>
  <c r="C5" i="23"/>
  <c r="E7" i="23"/>
  <c r="G17" i="23"/>
  <c r="F24" i="23"/>
  <c r="H26" i="23"/>
  <c r="F7" i="23"/>
  <c r="C24" i="23"/>
  <c r="E26" i="23"/>
  <c r="H4" i="23"/>
  <c r="G7" i="23"/>
  <c r="F10" i="23"/>
  <c r="H12" i="23"/>
  <c r="G15" i="23"/>
  <c r="F18" i="23"/>
  <c r="H20" i="23"/>
  <c r="G23" i="23"/>
  <c r="F26" i="23"/>
  <c r="H28" i="23"/>
  <c r="C13" i="23"/>
  <c r="E15" i="23"/>
  <c r="C4" i="23"/>
  <c r="E6" i="23"/>
  <c r="E10" i="23"/>
  <c r="G16" i="23"/>
  <c r="F19" i="23"/>
  <c r="H21" i="23"/>
  <c r="G6" i="23"/>
  <c r="F9" i="23"/>
  <c r="G14" i="23"/>
  <c r="F17" i="23"/>
  <c r="F25" i="23"/>
  <c r="F28" i="5" l="1"/>
  <c r="D28" i="4" l="1"/>
  <c r="C28" i="5"/>
  <c r="B27" i="21" l="1"/>
  <c r="B23" i="21"/>
  <c r="B19" i="21"/>
  <c r="B15" i="21"/>
  <c r="B11" i="21"/>
  <c r="B7" i="21"/>
  <c r="B26" i="21"/>
  <c r="B22" i="21"/>
  <c r="B18" i="21"/>
  <c r="B14" i="21"/>
  <c r="B10" i="21"/>
  <c r="B6" i="21"/>
  <c r="B29" i="21"/>
  <c r="B25" i="21"/>
  <c r="B21" i="21"/>
  <c r="B17" i="21"/>
  <c r="B13" i="21"/>
  <c r="B9" i="21"/>
  <c r="B5" i="21"/>
  <c r="B28" i="21"/>
  <c r="B24" i="21"/>
  <c r="B20" i="21"/>
  <c r="B16" i="21"/>
  <c r="B12" i="21"/>
  <c r="B8" i="21"/>
  <c r="B4" i="21"/>
  <c r="B27" i="20"/>
  <c r="B23" i="20"/>
  <c r="B19" i="20"/>
  <c r="B15" i="20"/>
  <c r="B11" i="20"/>
  <c r="B7" i="20"/>
  <c r="B26" i="20"/>
  <c r="B22" i="20"/>
  <c r="B18" i="20"/>
  <c r="B14" i="20"/>
  <c r="B10" i="20"/>
  <c r="B6" i="20"/>
  <c r="B29" i="20"/>
  <c r="B25" i="20"/>
  <c r="B21" i="20"/>
  <c r="B17" i="20"/>
  <c r="B13" i="20"/>
  <c r="B9" i="20"/>
  <c r="B5" i="20"/>
  <c r="B28" i="20"/>
  <c r="B24" i="20"/>
  <c r="B20" i="20"/>
  <c r="B16" i="20"/>
  <c r="B12" i="20"/>
  <c r="B8" i="20"/>
  <c r="B4" i="20"/>
  <c r="D29" i="21" l="1"/>
  <c r="D25" i="21"/>
  <c r="D21" i="21"/>
  <c r="D17" i="21"/>
  <c r="D13" i="21"/>
  <c r="D9" i="21"/>
  <c r="D5" i="21"/>
  <c r="D28" i="21"/>
  <c r="D20" i="21"/>
  <c r="D12" i="21"/>
  <c r="D26" i="21"/>
  <c r="D22" i="21"/>
  <c r="D18" i="21"/>
  <c r="D14" i="21"/>
  <c r="D10" i="21"/>
  <c r="D6" i="21"/>
  <c r="D24" i="21"/>
  <c r="D16" i="21"/>
  <c r="D8" i="21"/>
  <c r="D4" i="21"/>
  <c r="D15" i="21"/>
  <c r="D27" i="21"/>
  <c r="D11" i="21"/>
  <c r="D23" i="21"/>
  <c r="D7" i="21"/>
  <c r="D19" i="21"/>
  <c r="D28" i="20"/>
  <c r="D24" i="20"/>
  <c r="D20" i="20"/>
  <c r="D16" i="20"/>
  <c r="D12" i="20"/>
  <c r="D8" i="20"/>
  <c r="D4" i="20"/>
  <c r="D27" i="20"/>
  <c r="D19" i="20"/>
  <c r="D11" i="20"/>
  <c r="D29" i="20"/>
  <c r="D25" i="20"/>
  <c r="D21" i="20"/>
  <c r="D17" i="20"/>
  <c r="D13" i="20"/>
  <c r="D9" i="20"/>
  <c r="D5" i="20"/>
  <c r="D23" i="20"/>
  <c r="D15" i="20"/>
  <c r="D7" i="20"/>
  <c r="D26" i="20"/>
  <c r="D10" i="20"/>
  <c r="D22" i="20"/>
  <c r="D6" i="20"/>
  <c r="D18" i="20"/>
  <c r="G29" i="20"/>
  <c r="D14" i="20"/>
  <c r="E5" i="21"/>
  <c r="E20" i="21"/>
  <c r="C11" i="21"/>
  <c r="E13" i="21"/>
  <c r="C23" i="21"/>
  <c r="G27" i="21"/>
  <c r="G14" i="21"/>
  <c r="G26" i="21"/>
  <c r="C9" i="21"/>
  <c r="E11" i="21"/>
  <c r="C17" i="21"/>
  <c r="E19" i="21"/>
  <c r="C25" i="21"/>
  <c r="E27" i="21"/>
  <c r="C19" i="21"/>
  <c r="E21" i="21"/>
  <c r="C18" i="21"/>
  <c r="C4" i="21"/>
  <c r="E6" i="21"/>
  <c r="C12" i="21"/>
  <c r="E14" i="21"/>
  <c r="C20" i="21"/>
  <c r="E22" i="21"/>
  <c r="C28" i="21"/>
  <c r="E4" i="21"/>
  <c r="G11" i="21"/>
  <c r="G23" i="21"/>
  <c r="E29" i="21"/>
  <c r="C22" i="21"/>
  <c r="E24" i="21"/>
  <c r="G9" i="21"/>
  <c r="G17" i="21"/>
  <c r="G25" i="21"/>
  <c r="G19" i="21"/>
  <c r="C27" i="21"/>
  <c r="C10" i="21"/>
  <c r="E12" i="21"/>
  <c r="G18" i="21"/>
  <c r="G4" i="21"/>
  <c r="G12" i="21"/>
  <c r="G20" i="21"/>
  <c r="G28" i="21"/>
  <c r="C15" i="21"/>
  <c r="E17" i="21"/>
  <c r="E25" i="21"/>
  <c r="C6" i="21"/>
  <c r="E8" i="21"/>
  <c r="G22" i="21"/>
  <c r="C5" i="21"/>
  <c r="E7" i="21"/>
  <c r="C13" i="21"/>
  <c r="E15" i="21"/>
  <c r="C21" i="21"/>
  <c r="E23" i="21"/>
  <c r="C29" i="21"/>
  <c r="C7" i="21"/>
  <c r="E9" i="21"/>
  <c r="G10" i="21"/>
  <c r="C8" i="21"/>
  <c r="E10" i="21"/>
  <c r="C16" i="21"/>
  <c r="E18" i="21"/>
  <c r="C24" i="21"/>
  <c r="E26" i="21"/>
  <c r="G15" i="21"/>
  <c r="G6" i="21"/>
  <c r="C14" i="21"/>
  <c r="E16" i="21"/>
  <c r="C26" i="21"/>
  <c r="E28" i="21"/>
  <c r="G5" i="21"/>
  <c r="G13" i="21"/>
  <c r="G21" i="21"/>
  <c r="G29" i="21"/>
  <c r="G7" i="21"/>
  <c r="G8" i="21"/>
  <c r="G16" i="21"/>
  <c r="G24" i="21"/>
  <c r="C7" i="20"/>
  <c r="E9" i="20"/>
  <c r="C15" i="20"/>
  <c r="E17" i="20"/>
  <c r="C23" i="20"/>
  <c r="E25" i="20"/>
  <c r="G10" i="20"/>
  <c r="G18" i="20"/>
  <c r="G26" i="20"/>
  <c r="C9" i="20"/>
  <c r="E11" i="20"/>
  <c r="C17" i="20"/>
  <c r="E19" i="20"/>
  <c r="C25" i="20"/>
  <c r="E27" i="20"/>
  <c r="C4" i="20"/>
  <c r="E6" i="20"/>
  <c r="C12" i="20"/>
  <c r="E14" i="20"/>
  <c r="C20" i="20"/>
  <c r="E22" i="20"/>
  <c r="C28" i="20"/>
  <c r="G7" i="20"/>
  <c r="G15" i="20"/>
  <c r="G23" i="20"/>
  <c r="C6" i="20"/>
  <c r="E8" i="20"/>
  <c r="C14" i="20"/>
  <c r="E16" i="20"/>
  <c r="C22" i="20"/>
  <c r="E24" i="20"/>
  <c r="G9" i="20"/>
  <c r="G17" i="20"/>
  <c r="G25" i="20"/>
  <c r="G4" i="20"/>
  <c r="G12" i="20"/>
  <c r="G20" i="20"/>
  <c r="G28" i="20"/>
  <c r="E5" i="20"/>
  <c r="C11" i="20"/>
  <c r="E13" i="20"/>
  <c r="C19" i="20"/>
  <c r="E21" i="20"/>
  <c r="C27" i="20"/>
  <c r="E29" i="20"/>
  <c r="G6" i="20"/>
  <c r="G14" i="20"/>
  <c r="G22" i="20"/>
  <c r="C5" i="20"/>
  <c r="E7" i="20"/>
  <c r="C13" i="20"/>
  <c r="E15" i="20"/>
  <c r="C21" i="20"/>
  <c r="E23" i="20"/>
  <c r="C29" i="20"/>
  <c r="C8" i="20"/>
  <c r="E10" i="20"/>
  <c r="C16" i="20"/>
  <c r="E18" i="20"/>
  <c r="C24" i="20"/>
  <c r="E26" i="20"/>
  <c r="G11" i="20"/>
  <c r="G19" i="20"/>
  <c r="G27" i="20"/>
  <c r="E4" i="20"/>
  <c r="C10" i="20"/>
  <c r="E12" i="20"/>
  <c r="C18" i="20"/>
  <c r="E20" i="20"/>
  <c r="C26" i="20"/>
  <c r="E28" i="20"/>
  <c r="G5" i="20"/>
  <c r="G13" i="20"/>
  <c r="G21" i="20"/>
  <c r="G8" i="20"/>
  <c r="G16" i="20"/>
  <c r="G24" i="20"/>
  <c r="K23" i="2"/>
  <c r="K10" i="2"/>
  <c r="J2" i="2"/>
  <c r="J2" i="10"/>
  <c r="H24" i="14" l="1"/>
  <c r="H5" i="14"/>
  <c r="F14" i="14"/>
  <c r="F24" i="14"/>
  <c r="F5" i="14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H28" i="21" s="1"/>
  <c r="G25" i="5"/>
  <c r="G24" i="5"/>
  <c r="G23" i="5"/>
  <c r="G22" i="5"/>
  <c r="G21" i="5"/>
  <c r="G20" i="5"/>
  <c r="G19" i="5"/>
  <c r="H27" i="21" s="1"/>
  <c r="G18" i="5"/>
  <c r="G17" i="5"/>
  <c r="G16" i="5"/>
  <c r="G15" i="5"/>
  <c r="G14" i="5"/>
  <c r="G13" i="5"/>
  <c r="G12" i="5"/>
  <c r="G11" i="5"/>
  <c r="G10" i="5"/>
  <c r="G9" i="5"/>
  <c r="G8" i="5"/>
  <c r="H9" i="21" s="1"/>
  <c r="G7" i="5"/>
  <c r="G6" i="5"/>
  <c r="H26" i="21" s="1"/>
  <c r="G5" i="5"/>
  <c r="G4" i="5"/>
  <c r="H24" i="21" s="1"/>
  <c r="G3" i="5"/>
  <c r="H5" i="21" s="1"/>
  <c r="E27" i="5"/>
  <c r="E26" i="5"/>
  <c r="F28" i="21" s="1"/>
  <c r="E25" i="5"/>
  <c r="E24" i="5"/>
  <c r="E23" i="5"/>
  <c r="E22" i="5"/>
  <c r="E21" i="5"/>
  <c r="E20" i="5"/>
  <c r="E19" i="5"/>
  <c r="F27" i="21" s="1"/>
  <c r="E18" i="5"/>
  <c r="E17" i="5"/>
  <c r="E16" i="5"/>
  <c r="E15" i="5"/>
  <c r="E14" i="5"/>
  <c r="E13" i="5"/>
  <c r="E12" i="5"/>
  <c r="E11" i="5"/>
  <c r="E10" i="5"/>
  <c r="E9" i="5"/>
  <c r="E8" i="5"/>
  <c r="F9" i="21" s="1"/>
  <c r="E7" i="5"/>
  <c r="F25" i="21" s="1"/>
  <c r="E6" i="5"/>
  <c r="E5" i="5"/>
  <c r="E4" i="5"/>
  <c r="F24" i="21" s="1"/>
  <c r="E3" i="5"/>
  <c r="F5" i="21" s="1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H27" i="20" s="1"/>
  <c r="G5" i="4"/>
  <c r="G4" i="4"/>
  <c r="G3" i="4"/>
  <c r="H6" i="20" s="1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F6" i="20" s="1"/>
  <c r="G22" i="3"/>
  <c r="G27" i="3"/>
  <c r="G26" i="3"/>
  <c r="H28" i="19" s="1"/>
  <c r="G25" i="3"/>
  <c r="G24" i="3"/>
  <c r="G23" i="3"/>
  <c r="H7" i="19" s="1"/>
  <c r="G21" i="3"/>
  <c r="G20" i="3"/>
  <c r="G19" i="3"/>
  <c r="G18" i="3"/>
  <c r="G17" i="3"/>
  <c r="H23" i="19" s="1"/>
  <c r="G16" i="3"/>
  <c r="G15" i="3"/>
  <c r="G14" i="3"/>
  <c r="G13" i="3"/>
  <c r="G12" i="3"/>
  <c r="G11" i="3"/>
  <c r="H19" i="19" s="1"/>
  <c r="G10" i="3"/>
  <c r="G9" i="3"/>
  <c r="G8" i="3"/>
  <c r="G7" i="3"/>
  <c r="G6" i="3"/>
  <c r="G5" i="3"/>
  <c r="G4" i="3"/>
  <c r="H24" i="19" s="1"/>
  <c r="G3" i="3"/>
  <c r="E27" i="3"/>
  <c r="E26" i="3"/>
  <c r="F28" i="19" s="1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F24" i="19" s="1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H6" i="14"/>
  <c r="H28" i="14"/>
  <c r="H16" i="14"/>
  <c r="H4" i="14"/>
  <c r="H7" i="14"/>
  <c r="F6" i="14"/>
  <c r="H20" i="14"/>
  <c r="H12" i="14"/>
  <c r="H13" i="14"/>
  <c r="H27" i="14"/>
  <c r="H17" i="14"/>
  <c r="H23" i="14"/>
  <c r="H22" i="14"/>
  <c r="H19" i="14"/>
  <c r="H15" i="14"/>
  <c r="H18" i="14"/>
  <c r="H11" i="14"/>
  <c r="H21" i="14"/>
  <c r="H9" i="14"/>
  <c r="H10" i="14"/>
  <c r="H8" i="14"/>
  <c r="H25" i="14"/>
  <c r="H26" i="14"/>
  <c r="H14" i="14"/>
  <c r="F28" i="14"/>
  <c r="F16" i="14"/>
  <c r="F4" i="14"/>
  <c r="F7" i="14"/>
  <c r="F20" i="14"/>
  <c r="F12" i="14"/>
  <c r="F13" i="14"/>
  <c r="F27" i="14"/>
  <c r="F17" i="14"/>
  <c r="F23" i="14"/>
  <c r="F22" i="14"/>
  <c r="F19" i="14"/>
  <c r="F15" i="14"/>
  <c r="F18" i="14"/>
  <c r="F11" i="14"/>
  <c r="F21" i="14"/>
  <c r="F9" i="14"/>
  <c r="F10" i="14"/>
  <c r="F8" i="14"/>
  <c r="F25" i="14"/>
  <c r="F26" i="14"/>
  <c r="H25" i="21" l="1"/>
  <c r="F26" i="21"/>
  <c r="F25" i="20"/>
  <c r="E28" i="3"/>
  <c r="G28" i="3"/>
  <c r="F23" i="19"/>
  <c r="H7" i="21"/>
  <c r="H25" i="19"/>
  <c r="H27" i="19"/>
  <c r="F27" i="19"/>
  <c r="F12" i="19"/>
  <c r="H8" i="19"/>
  <c r="F7" i="19"/>
  <c r="F9" i="19"/>
  <c r="F25" i="19"/>
  <c r="F19" i="19"/>
  <c r="F8" i="19"/>
  <c r="H9" i="19"/>
  <c r="F7" i="21"/>
  <c r="F6" i="21"/>
  <c r="H8" i="21"/>
  <c r="H6" i="21"/>
  <c r="H12" i="19"/>
  <c r="F8" i="21"/>
  <c r="F18" i="19"/>
  <c r="H18" i="19"/>
  <c r="F15" i="19"/>
  <c r="H11" i="19"/>
  <c r="F11" i="19"/>
  <c r="H15" i="19"/>
  <c r="F13" i="20"/>
  <c r="F10" i="21"/>
  <c r="H10" i="21"/>
  <c r="F11" i="21"/>
  <c r="H11" i="21"/>
  <c r="H20" i="19"/>
  <c r="E28" i="6"/>
  <c r="F16" i="20"/>
  <c r="F27" i="20"/>
  <c r="F26" i="20"/>
  <c r="H13" i="20"/>
  <c r="F5" i="20"/>
  <c r="H26" i="20"/>
  <c r="H25" i="20"/>
  <c r="H5" i="20"/>
  <c r="F6" i="19"/>
  <c r="F26" i="19"/>
  <c r="F20" i="19"/>
  <c r="H21" i="19"/>
  <c r="H26" i="19"/>
  <c r="F17" i="20"/>
  <c r="H21" i="18"/>
  <c r="F12" i="18"/>
  <c r="F16" i="18"/>
  <c r="F18" i="18"/>
  <c r="F5" i="18"/>
  <c r="H23" i="18"/>
  <c r="H6" i="18"/>
  <c r="F20" i="18"/>
  <c r="F23" i="18"/>
  <c r="F6" i="18"/>
  <c r="H22" i="18"/>
  <c r="H15" i="18"/>
  <c r="H24" i="18"/>
  <c r="F10" i="20"/>
  <c r="F19" i="18"/>
  <c r="H12" i="18"/>
  <c r="H16" i="18"/>
  <c r="H18" i="18"/>
  <c r="H5" i="18"/>
  <c r="F22" i="18"/>
  <c r="F15" i="18"/>
  <c r="F24" i="18"/>
  <c r="H20" i="18"/>
  <c r="H14" i="18"/>
  <c r="H19" i="18"/>
  <c r="F14" i="18"/>
  <c r="F21" i="18"/>
  <c r="H21" i="21"/>
  <c r="H17" i="21"/>
  <c r="F13" i="18"/>
  <c r="H13" i="18"/>
  <c r="F8" i="20"/>
  <c r="H7" i="20"/>
  <c r="H17" i="19"/>
  <c r="F16" i="19"/>
  <c r="H16" i="21"/>
  <c r="F17" i="21"/>
  <c r="F23" i="21"/>
  <c r="H12" i="21"/>
  <c r="F16" i="21"/>
  <c r="F7" i="20"/>
  <c r="H16" i="19"/>
  <c r="H5" i="19"/>
  <c r="F17" i="19"/>
  <c r="H7" i="18"/>
  <c r="F7" i="18"/>
  <c r="F21" i="19"/>
  <c r="F10" i="18"/>
  <c r="H14" i="20"/>
  <c r="F15" i="20"/>
  <c r="H23" i="21"/>
  <c r="H11" i="20"/>
  <c r="F24" i="20"/>
  <c r="H21" i="20"/>
  <c r="H20" i="20"/>
  <c r="H16" i="20"/>
  <c r="F10" i="19"/>
  <c r="H22" i="19"/>
  <c r="H10" i="19"/>
  <c r="F22" i="19"/>
  <c r="H10" i="18"/>
  <c r="F11" i="18"/>
  <c r="H11" i="18"/>
  <c r="F9" i="18"/>
  <c r="H9" i="18"/>
  <c r="H14" i="21"/>
  <c r="F15" i="21"/>
  <c r="H15" i="20"/>
  <c r="F14" i="20"/>
  <c r="F14" i="21"/>
  <c r="F20" i="21"/>
  <c r="H15" i="21"/>
  <c r="H20" i="21"/>
  <c r="H12" i="20"/>
  <c r="F12" i="20"/>
  <c r="H13" i="19"/>
  <c r="F17" i="18"/>
  <c r="H8" i="18"/>
  <c r="F8" i="18"/>
  <c r="H17" i="18"/>
  <c r="F22" i="21"/>
  <c r="F13" i="21"/>
  <c r="F18" i="21"/>
  <c r="F22" i="20"/>
  <c r="H9" i="20"/>
  <c r="H18" i="20"/>
  <c r="H23" i="20"/>
  <c r="F14" i="19"/>
  <c r="F5" i="19"/>
  <c r="H6" i="19"/>
  <c r="F13" i="19"/>
  <c r="H14" i="19"/>
  <c r="F23" i="20"/>
  <c r="F9" i="20"/>
  <c r="F18" i="20"/>
  <c r="F19" i="20"/>
  <c r="H8" i="20"/>
  <c r="H17" i="20"/>
  <c r="H24" i="20"/>
  <c r="H10" i="20"/>
  <c r="H19" i="20"/>
  <c r="F21" i="20"/>
  <c r="F11" i="20"/>
  <c r="F20" i="20"/>
  <c r="H22" i="20"/>
  <c r="H19" i="21"/>
  <c r="H18" i="21"/>
  <c r="F19" i="21"/>
  <c r="F12" i="21"/>
  <c r="F21" i="21"/>
  <c r="H22" i="21"/>
  <c r="H13" i="21"/>
  <c r="G24" i="2"/>
  <c r="E24" i="2"/>
  <c r="E28" i="4"/>
  <c r="F28" i="20" s="1"/>
  <c r="E28" i="5"/>
  <c r="G28" i="5"/>
  <c r="G28" i="4"/>
  <c r="H28" i="20" s="1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F4" i="21" l="1"/>
  <c r="F29" i="21"/>
  <c r="H4" i="21"/>
  <c r="H29" i="21"/>
  <c r="H4" i="19"/>
  <c r="H29" i="19"/>
  <c r="F4" i="19"/>
  <c r="F29" i="19"/>
  <c r="H4" i="18"/>
  <c r="H25" i="18"/>
  <c r="F4" i="18"/>
  <c r="F25" i="18"/>
  <c r="F4" i="20"/>
  <c r="F29" i="20"/>
  <c r="H4" i="20"/>
  <c r="H29" i="20"/>
  <c r="L4" i="10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L28" i="10" l="1"/>
  <c r="B27" i="22" l="1"/>
  <c r="B23" i="22"/>
  <c r="B19" i="22"/>
  <c r="B15" i="22"/>
  <c r="B11" i="22"/>
  <c r="B7" i="22"/>
  <c r="B26" i="22"/>
  <c r="B22" i="22"/>
  <c r="B18" i="22"/>
  <c r="B14" i="22"/>
  <c r="B10" i="22"/>
  <c r="B6" i="22"/>
  <c r="B29" i="22"/>
  <c r="B25" i="22"/>
  <c r="B21" i="22"/>
  <c r="B17" i="22"/>
  <c r="B13" i="22"/>
  <c r="B9" i="22"/>
  <c r="B5" i="22"/>
  <c r="B28" i="22"/>
  <c r="B24" i="22"/>
  <c r="B20" i="22"/>
  <c r="B16" i="22"/>
  <c r="B12" i="22"/>
  <c r="B8" i="22"/>
  <c r="B4" i="22"/>
  <c r="K3" i="2"/>
  <c r="D27" i="22" l="1"/>
  <c r="D23" i="22"/>
  <c r="D19" i="22"/>
  <c r="D15" i="22"/>
  <c r="D11" i="22"/>
  <c r="D7" i="22"/>
  <c r="D26" i="22"/>
  <c r="D18" i="22"/>
  <c r="D14" i="22"/>
  <c r="D10" i="22"/>
  <c r="D29" i="22"/>
  <c r="D25" i="22"/>
  <c r="D28" i="22"/>
  <c r="D24" i="22"/>
  <c r="D20" i="22"/>
  <c r="D16" i="22"/>
  <c r="D12" i="22"/>
  <c r="D8" i="22"/>
  <c r="D4" i="22"/>
  <c r="D22" i="22"/>
  <c r="D6" i="22"/>
  <c r="D21" i="22"/>
  <c r="D5" i="22"/>
  <c r="D17" i="22"/>
  <c r="D13" i="22"/>
  <c r="D9" i="22"/>
  <c r="E24" i="22"/>
  <c r="F6" i="22"/>
  <c r="H8" i="22"/>
  <c r="C23" i="22"/>
  <c r="E25" i="22"/>
  <c r="E29" i="22"/>
  <c r="G6" i="22"/>
  <c r="F9" i="22"/>
  <c r="G18" i="22"/>
  <c r="F25" i="22"/>
  <c r="H27" i="22"/>
  <c r="C5" i="22"/>
  <c r="E7" i="22"/>
  <c r="C13" i="22"/>
  <c r="E15" i="22"/>
  <c r="C21" i="22"/>
  <c r="E23" i="22"/>
  <c r="C29" i="22"/>
  <c r="G11" i="22"/>
  <c r="G15" i="22"/>
  <c r="F18" i="22"/>
  <c r="H20" i="22"/>
  <c r="F21" i="22"/>
  <c r="H23" i="22"/>
  <c r="H5" i="22"/>
  <c r="G8" i="22"/>
  <c r="F11" i="22"/>
  <c r="H13" i="22"/>
  <c r="G16" i="22"/>
  <c r="F19" i="22"/>
  <c r="H21" i="22"/>
  <c r="G24" i="22"/>
  <c r="F27" i="22"/>
  <c r="H29" i="22"/>
  <c r="C7" i="22"/>
  <c r="E9" i="22"/>
  <c r="G23" i="22"/>
  <c r="F26" i="22"/>
  <c r="E4" i="22"/>
  <c r="G10" i="22"/>
  <c r="C26" i="22"/>
  <c r="E28" i="22"/>
  <c r="G5" i="22"/>
  <c r="F8" i="22"/>
  <c r="H10" i="22"/>
  <c r="G13" i="22"/>
  <c r="F16" i="22"/>
  <c r="H18" i="22"/>
  <c r="G21" i="22"/>
  <c r="F24" i="22"/>
  <c r="H26" i="22"/>
  <c r="G29" i="22"/>
  <c r="E13" i="22"/>
  <c r="C19" i="22"/>
  <c r="E21" i="22"/>
  <c r="F13" i="22"/>
  <c r="H15" i="22"/>
  <c r="C22" i="22"/>
  <c r="C4" i="22"/>
  <c r="E6" i="22"/>
  <c r="C12" i="22"/>
  <c r="E14" i="22"/>
  <c r="C20" i="22"/>
  <c r="E22" i="22"/>
  <c r="C28" i="22"/>
  <c r="H4" i="22"/>
  <c r="H28" i="22"/>
  <c r="G7" i="22"/>
  <c r="F10" i="22"/>
  <c r="G27" i="22"/>
  <c r="F5" i="22"/>
  <c r="H7" i="22"/>
  <c r="H11" i="22"/>
  <c r="H19" i="22"/>
  <c r="G26" i="22"/>
  <c r="F29" i="22"/>
  <c r="C9" i="22"/>
  <c r="E11" i="22"/>
  <c r="C17" i="22"/>
  <c r="E19" i="22"/>
  <c r="C25" i="22"/>
  <c r="E27" i="22"/>
  <c r="E5" i="22"/>
  <c r="F14" i="22"/>
  <c r="H16" i="22"/>
  <c r="G19" i="22"/>
  <c r="C27" i="22"/>
  <c r="C14" i="22"/>
  <c r="E16" i="22"/>
  <c r="G22" i="22"/>
  <c r="G4" i="22"/>
  <c r="F7" i="22"/>
  <c r="H9" i="22"/>
  <c r="G12" i="22"/>
  <c r="F15" i="22"/>
  <c r="H17" i="22"/>
  <c r="G20" i="22"/>
  <c r="F23" i="22"/>
  <c r="H25" i="22"/>
  <c r="G28" i="22"/>
  <c r="E12" i="22"/>
  <c r="H12" i="22"/>
  <c r="F22" i="22"/>
  <c r="H24" i="22"/>
  <c r="C6" i="22"/>
  <c r="E8" i="22"/>
  <c r="C18" i="22"/>
  <c r="E20" i="22"/>
  <c r="F4" i="22"/>
  <c r="H6" i="22"/>
  <c r="G9" i="22"/>
  <c r="F12" i="22"/>
  <c r="H14" i="22"/>
  <c r="G17" i="22"/>
  <c r="F20" i="22"/>
  <c r="H22" i="22"/>
  <c r="G25" i="22"/>
  <c r="F28" i="22"/>
  <c r="C11" i="22"/>
  <c r="C15" i="22"/>
  <c r="E17" i="22"/>
  <c r="C10" i="22"/>
  <c r="G14" i="22"/>
  <c r="F17" i="22"/>
  <c r="C8" i="22"/>
  <c r="E10" i="22"/>
  <c r="C16" i="22"/>
  <c r="E18" i="22"/>
  <c r="C24" i="22"/>
  <c r="E26" i="22"/>
  <c r="K2" i="2"/>
  <c r="L3" i="2" l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28" i="2" l="1"/>
</calcChain>
</file>

<file path=xl/sharedStrings.xml><?xml version="1.0" encoding="utf-8"?>
<sst xmlns="http://schemas.openxmlformats.org/spreadsheetml/2006/main" count="448" uniqueCount="130">
  <si>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</si>
  <si>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</si>
  <si>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</si>
  <si>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</si>
  <si>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</si>
  <si>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</si>
  <si>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</si>
  <si>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</si>
  <si>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</si>
  <si>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</si>
  <si>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</si>
  <si>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</si>
  <si>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</si>
  <si>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</si>
  <si>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</si>
  <si>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</si>
  <si>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</si>
  <si>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</si>
  <si>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</si>
  <si>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</si>
  <si>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</si>
  <si>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</si>
  <si>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</si>
  <si>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</si>
  <si>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</si>
  <si>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</si>
  <si>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</si>
  <si>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</si>
  <si>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</si>
  <si>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---</t>
  </si>
  <si>
    <t>Oferty pracy (wolne miejsca pracy i miejsca aktywizacji zawodowej) wg powiatów</t>
  </si>
  <si>
    <t>Liczba bezrobotnych zamieszkłaych na wsi w województwie podkarpackim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</si>
  <si>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</si>
  <si>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</si>
  <si>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</si>
  <si>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</si>
  <si>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</si>
  <si>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</si>
  <si>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</si>
  <si>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</si>
  <si>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</si>
  <si>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</si>
  <si>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</si>
  <si>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</si>
  <si>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</si>
  <si>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</si>
  <si>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</si>
  <si>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</si>
  <si>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</si>
  <si>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</si>
  <si>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</si>
  <si>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</si>
  <si>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</si>
  <si>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</si>
  <si>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</si>
  <si>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</si>
  <si>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</si>
  <si>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</si>
  <si>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</si>
  <si>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</si>
  <si>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</si>
  <si>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</si>
  <si>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</si>
  <si>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</si>
  <si>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</si>
  <si>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</si>
  <si>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</si>
  <si>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</si>
  <si>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</si>
  <si>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</si>
  <si>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</si>
  <si>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</si>
  <si>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</si>
  <si>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</si>
  <si>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</si>
  <si>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</si>
  <si>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</si>
  <si>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</si>
  <si>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</si>
  <si>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</si>
  <si>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Bezrobotne kobiety zarejestrowane w PUP w woj. podkarpackim</t>
  </si>
  <si>
    <t>wzrost lub spadek do poprzedniego miesiąca (pkt. proc.)</t>
  </si>
  <si>
    <t>wzrost lub spadek do analogicznego okresu ubr. (pkt. proc.)</t>
  </si>
  <si>
    <t>Liczba bezrobotnych do 30 roku życia - w szczególnej sytuacji na rynku pracy</t>
  </si>
  <si>
    <t>Liczba bezrobotnych powyżej 50 roku życia - w szczególnej sytuacji na rynku pracy</t>
  </si>
  <si>
    <t>Bezrobotne kobiety zarejestrowane w PUP c.d.</t>
  </si>
  <si>
    <t>Liczba bezrobotnych zamieszkłaych na wsi c.d.</t>
  </si>
  <si>
    <t>Oferty pracy subsydiowanej (subsydiowane wolne miejsca pracy i miejsca aktywizacji zawodowej) wg powiatów</t>
  </si>
  <si>
    <t>lokata</t>
  </si>
  <si>
    <t>Stopa bezrobocia rejestrowanego - wg województw</t>
  </si>
  <si>
    <t>Stopa bezrobocia rejestrowanego - wg powiatów w województwie podkarpackim</t>
  </si>
  <si>
    <t>Liczba bezrobotnych powyżej 12 miesięcy* - w szczególnej sytuacji na rynku pracy</t>
  </si>
  <si>
    <t>Oferty pracy subsydiowanej wg powiatów</t>
  </si>
  <si>
    <t>(subsydiowane wolne miejsca pracy i miejsca aktywizacji zawodowej)</t>
  </si>
  <si>
    <t>w proc.</t>
  </si>
  <si>
    <t>proc. w stos. do ogółem bezrobotnych</t>
  </si>
  <si>
    <t>Liczba bezrobotnych do 30 roku życia - tj. będących w szczególnej sytuacji na rynku pracy</t>
  </si>
  <si>
    <r>
      <t xml:space="preserve">* </t>
    </r>
    <r>
      <rPr>
        <b/>
        <sz val="11"/>
        <color theme="1"/>
        <rFont val="Arial"/>
        <family val="2"/>
        <charset val="238"/>
      </rPr>
      <t>Bezrobotni długotrwale</t>
    </r>
    <r>
      <rPr>
        <sz val="11"/>
        <color theme="1"/>
        <rFont val="Arial"/>
        <family val="2"/>
        <charset val="238"/>
      </rPr>
      <t xml:space="preserve"> - w okresie ostatnich dwóch lat. </t>
    </r>
  </si>
  <si>
    <t>Definicja zawarta w ustawie o promocji zatrudnienia i instytucjach rynku pracy.</t>
  </si>
  <si>
    <t>Oferty pracy ogółem według stanu na koniec miesiąca</t>
  </si>
  <si>
    <t>(wolne miejsca pracy i miejsca aktywizacji zawodowej)</t>
  </si>
  <si>
    <t>Oferty pracy ogółem według stanu na koniec miesiąca (wolne miejsca pracy i miejsca aktywizacji zawodowej) wg powiatów</t>
  </si>
  <si>
    <t>liczba bezrobotnych ogółem stan na 31 I '23 r.</t>
  </si>
  <si>
    <t>liczba bezrobotnych kobiet stan na 31 I '23 r.</t>
  </si>
  <si>
    <t>Stopa bezrobocia stan na 31 I '23 r. (w proc.)*</t>
  </si>
  <si>
    <t>liczba bezrobotnych zam. na wsi stan na 31 I '23 r.</t>
  </si>
  <si>
    <t>liczba bezrobotnych pow. 12 m-cy stan na 31 I '23 r.</t>
  </si>
  <si>
    <t>liczba bezrobotnych do 30 r. ż. stan na 31 I '23 r.</t>
  </si>
  <si>
    <t>liczba bezrobotnych 50+ stan na 31 I '23 r.</t>
  </si>
  <si>
    <t>liczba ofert w I '23 r.</t>
  </si>
  <si>
    <t>* GUS - BDL.</t>
  </si>
  <si>
    <t>liczba bezrobotnych ogółem stan na 28 II '23 r.</t>
  </si>
  <si>
    <t>liczba bezrobotnych ogółem stan na 28 II '22 r.</t>
  </si>
  <si>
    <t>liczba bezrobotnych kobiet stan na 28 II '23 r.</t>
  </si>
  <si>
    <t>liczba bezrobotnych kobiet stan na 28 II '22 r.</t>
  </si>
  <si>
    <t>Stopa bezrobocia stan na 28 II '23 r. (w proc.)*</t>
  </si>
  <si>
    <t>Stopa bezrobocia stan na 28 II '22 r. (w proc.)*</t>
  </si>
  <si>
    <t>Stopa bezrobocia stan na 31 I '23 r. w proc. *</t>
  </si>
  <si>
    <t>Stopa bezrobocia stan na 28 II '23 r. w proc.*</t>
  </si>
  <si>
    <t>Stopa bezrobocia stan na 28 II '22 r. w proc.*</t>
  </si>
  <si>
    <t>liczba bezrobotnych zam. na wsi stan na 28 II '23 r.</t>
  </si>
  <si>
    <t>liczba bezrobotnych zam. na wsi stan na 28 II '22 r.</t>
  </si>
  <si>
    <t>liczba bezrobotnych pow. 12 m-cy stan na 28 II '23 r.</t>
  </si>
  <si>
    <t>liczba bezrobotnych pow. 12 m-cy,  stan na 28 II '22 r.</t>
  </si>
  <si>
    <t>liczba bezrobotnych do 30 r. ż. stan na 28 II '22 r.</t>
  </si>
  <si>
    <t>liczba bezrobotnych do 30 r. ż. stan na 28 II '23 r.</t>
  </si>
  <si>
    <t>liczba bezrobotnych 50+ stan na 28 II '22 r.</t>
  </si>
  <si>
    <t>liczba bezrobotnych 50+ stan na 28 II '23 r.</t>
  </si>
  <si>
    <t>liczba ofert w II '23 r.</t>
  </si>
  <si>
    <t>liczba ofert w II '22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</si>
</sst>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>
        <fgColor rgb="FF41AAC3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lightGray">
        <fgColor rgb="FF41AAC3"/>
        <bgColor theme="7" tint="0.59999389629810485"/>
      </patternFill>
    </fill>
    <fill>
      <patternFill patternType="solid">
        <fgColor rgb="FFEFECF4"/>
        <bgColor indexed="64"/>
      </patternFill>
    </fill>
    <fill>
      <patternFill patternType="lightGray">
        <fgColor rgb="FF41AAC3"/>
        <bgColor rgb="FFEFECF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>
      <alignment horizontal="right" vertical="center"/>
    </xf>
    <xf numFmtId="0" fontId="10" fillId="0" borderId="0" applyNumberFormat="0" applyFill="0" applyBorder="0" applyAlignment="0" applyProtection="0"/>
  </cellStyleXfs>
  <cellXfs count="84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15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3" fontId="2" fillId="4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164" fontId="2" fillId="2" borderId="0" xfId="0" applyNumberFormat="1" applyFont="1" applyFill="1"/>
    <xf numFmtId="0" fontId="5" fillId="3" borderId="1" xfId="0" applyFont="1" applyFill="1" applyBorder="1"/>
    <xf numFmtId="3" fontId="6" fillId="3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/>
    </xf>
    <xf numFmtId="164" fontId="2" fillId="2" borderId="1" xfId="0" quotePrefix="1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" fontId="7" fillId="0" borderId="3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 wrapText="1"/>
    </xf>
    <xf numFmtId="1" fontId="7" fillId="0" borderId="5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>
      <alignment horizontal="center" vertical="center" wrapText="1"/>
    </xf>
    <xf numFmtId="1" fontId="7" fillId="0" borderId="7" xfId="1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5" fillId="7" borderId="1" xfId="0" applyFont="1" applyFill="1" applyBorder="1"/>
    <xf numFmtId="3" fontId="6" fillId="7" borderId="1" xfId="0" applyNumberFormat="1" applyFont="1" applyFill="1" applyBorder="1" applyAlignment="1">
      <alignment horizontal="center" vertical="center"/>
    </xf>
    <xf numFmtId="3" fontId="6" fillId="8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165" fontId="2" fillId="2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/>
    <xf numFmtId="164" fontId="6" fillId="5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8" fillId="2" borderId="1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164" fontId="6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1" fillId="2" borderId="0" xfId="2" applyFont="1" applyFill="1"/>
    <xf numFmtId="1" fontId="2" fillId="2" borderId="0" xfId="0" applyNumberFormat="1" applyFont="1" applyFill="1" applyAlignment="1">
      <alignment horizontal="center"/>
    </xf>
  </cellXfs>
  <cellStyles count="3">
    <cellStyle name="Hiperłącze" xfId="2" builtinId="8"/>
    <cellStyle name="Normalny" xfId="0" builtinId="0"/>
    <cellStyle name="S7" xfId="1" xr:uid="{00000000-0005-0000-0000-000001000000}"/>
  </cellStyles>
  <dxfs count="0"/>
  <tableStyles count="0" defaultTableStyle="TableStyleMedium2" defaultPivotStyle="PivotStyleLight16"/>
  <colors>
    <mruColors>
      <color rgb="FF60497A"/>
      <color rgb="FFCCC0DA"/>
      <color rgb="FF41AAC3"/>
      <color rgb="FFCCFFCC"/>
      <color rgb="FFD9FFD9"/>
      <color rgb="FF0000FF"/>
      <color rgb="FFEFECF4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w województwie podkarpackim wg powiatów</a:t>
            </a:r>
          </a:p>
        </c:rich>
      </c:tx>
      <c:layout>
        <c:manualLayout>
          <c:xMode val="edge"/>
          <c:yMode val="edge"/>
          <c:x val="0.21175836008271273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'1_sort'!$B$1</c:f>
              <c:strCache>
                <c:ptCount val="1"/>
                <c:pt idx="0">
                  <c:v>Liczba bezrobotnych w województwie podkarpackim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599-4D79-AB39-F167CD5FD6A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599-4D79-AB39-F167CD5FD6A6}"/>
              </c:ext>
            </c:extLst>
          </c:dPt>
          <c:dLbls>
            <c:dLbl>
              <c:idx val="13"/>
              <c:layout>
                <c:manualLayout>
                  <c:x val="9.6039205303000803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99-4D79-AB39-F167CD5FD6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leski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Przemyśl</c:v>
                </c:pt>
                <c:pt idx="10">
                  <c:v>dębicki</c:v>
                </c:pt>
                <c:pt idx="11">
                  <c:v>mielecki</c:v>
                </c:pt>
                <c:pt idx="12">
                  <c:v>łańcucki</c:v>
                </c:pt>
                <c:pt idx="13">
                  <c:v>ropczycko-sędziszowski</c:v>
                </c:pt>
                <c:pt idx="14">
                  <c:v>sanocki</c:v>
                </c:pt>
                <c:pt idx="15">
                  <c:v>przemyski</c:v>
                </c:pt>
                <c:pt idx="16">
                  <c:v>niżański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'1_sort'!$D$4:$D$28</c:f>
              <c:numCache>
                <c:formatCode>#,##0</c:formatCode>
                <c:ptCount val="25"/>
                <c:pt idx="0" formatCode="General">
                  <c:v>802</c:v>
                </c:pt>
                <c:pt idx="1">
                  <c:v>1155</c:v>
                </c:pt>
                <c:pt idx="2">
                  <c:v>1168</c:v>
                </c:pt>
                <c:pt idx="3">
                  <c:v>1376</c:v>
                </c:pt>
                <c:pt idx="4">
                  <c:v>1710</c:v>
                </c:pt>
                <c:pt idx="5">
                  <c:v>1813</c:v>
                </c:pt>
                <c:pt idx="6">
                  <c:v>1954</c:v>
                </c:pt>
                <c:pt idx="7">
                  <c:v>2013</c:v>
                </c:pt>
                <c:pt idx="8">
                  <c:v>2228</c:v>
                </c:pt>
                <c:pt idx="9">
                  <c:v>2556</c:v>
                </c:pt>
                <c:pt idx="10">
                  <c:v>2632</c:v>
                </c:pt>
                <c:pt idx="11">
                  <c:v>2769</c:v>
                </c:pt>
                <c:pt idx="12">
                  <c:v>2797</c:v>
                </c:pt>
                <c:pt idx="13">
                  <c:v>2836</c:v>
                </c:pt>
                <c:pt idx="14">
                  <c:v>2840</c:v>
                </c:pt>
                <c:pt idx="15">
                  <c:v>3149</c:v>
                </c:pt>
                <c:pt idx="16">
                  <c:v>3248</c:v>
                </c:pt>
                <c:pt idx="17">
                  <c:v>3283</c:v>
                </c:pt>
                <c:pt idx="18">
                  <c:v>3417</c:v>
                </c:pt>
                <c:pt idx="19">
                  <c:v>3596</c:v>
                </c:pt>
                <c:pt idx="20">
                  <c:v>4127</c:v>
                </c:pt>
                <c:pt idx="21">
                  <c:v>4843</c:v>
                </c:pt>
                <c:pt idx="22">
                  <c:v>5092</c:v>
                </c:pt>
                <c:pt idx="23">
                  <c:v>5156</c:v>
                </c:pt>
                <c:pt idx="24">
                  <c:v>5508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99-4D79-AB39-F167CD5FD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9111424"/>
        <c:axId val="139315072"/>
      </c:barChart>
      <c:catAx>
        <c:axId val="139111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9315072"/>
        <c:crosses val="autoZero"/>
        <c:auto val="1"/>
        <c:lblAlgn val="ctr"/>
        <c:lblOffset val="100"/>
        <c:noMultiLvlLbl val="0"/>
      </c:catAx>
      <c:valAx>
        <c:axId val="13931507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911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subsydiowanej (subsydiowane wolne miejsca pracy i miejsca aktywizacji zawodowej) wg powiatów</a:t>
            </a:r>
          </a:p>
        </c:rich>
      </c:tx>
      <c:layout>
        <c:manualLayout>
          <c:xMode val="edge"/>
          <c:yMode val="edge"/>
          <c:x val="0.19857511688579463"/>
          <c:y val="2.10510903332122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'10_sort'!$B$1</c:f>
              <c:strCache>
                <c:ptCount val="1"/>
                <c:pt idx="0">
                  <c:v>Oferty pracy subsydiowanej (subsydiowane 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843-47F9-BA64-A416F5B1819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843-47F9-BA64-A416F5B181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'10_sort'!$C$4:$C$28</c:f>
              <c:strCache>
                <c:ptCount val="25"/>
                <c:pt idx="0">
                  <c:v>leski</c:v>
                </c:pt>
                <c:pt idx="1">
                  <c:v>sanocki</c:v>
                </c:pt>
                <c:pt idx="2">
                  <c:v>krośnieński</c:v>
                </c:pt>
                <c:pt idx="3">
                  <c:v>rzeszowski</c:v>
                </c:pt>
                <c:pt idx="4">
                  <c:v>brzozowski</c:v>
                </c:pt>
                <c:pt idx="5">
                  <c:v>przemyski</c:v>
                </c:pt>
                <c:pt idx="6">
                  <c:v>ropczycko-sędziszowski</c:v>
                </c:pt>
                <c:pt idx="7">
                  <c:v>Przemyśl</c:v>
                </c:pt>
                <c:pt idx="8">
                  <c:v>Tarnobrzeg</c:v>
                </c:pt>
                <c:pt idx="9">
                  <c:v>bieszczadzki</c:v>
                </c:pt>
                <c:pt idx="10">
                  <c:v>niżański</c:v>
                </c:pt>
                <c:pt idx="11">
                  <c:v>Krosno</c:v>
                </c:pt>
                <c:pt idx="12">
                  <c:v>stalowowolski</c:v>
                </c:pt>
                <c:pt idx="13">
                  <c:v>kolbuszowski</c:v>
                </c:pt>
                <c:pt idx="14">
                  <c:v>lubaczowski</c:v>
                </c:pt>
                <c:pt idx="15">
                  <c:v>dębicki</c:v>
                </c:pt>
                <c:pt idx="16">
                  <c:v>Rzeszów</c:v>
                </c:pt>
                <c:pt idx="17">
                  <c:v>tarnobrzeski </c:v>
                </c:pt>
                <c:pt idx="18">
                  <c:v>leżajski</c:v>
                </c:pt>
                <c:pt idx="19">
                  <c:v>jasielski</c:v>
                </c:pt>
                <c:pt idx="20">
                  <c:v>łańcucki</c:v>
                </c:pt>
                <c:pt idx="21">
                  <c:v>mielecki</c:v>
                </c:pt>
                <c:pt idx="22">
                  <c:v>strzyżowski</c:v>
                </c:pt>
                <c:pt idx="23">
                  <c:v>przeworski</c:v>
                </c:pt>
                <c:pt idx="24">
                  <c:v>jarosławski</c:v>
                </c:pt>
              </c:strCache>
            </c:strRef>
          </c:cat>
          <c:val>
            <c:numRef>
              <c:f>'10_sort'!$D$4:$D$28</c:f>
              <c:numCache>
                <c:formatCode>#,##0</c:formatCode>
                <c:ptCount val="25"/>
                <c:pt idx="0" formatCode="General">
                  <c:v>26</c:v>
                </c:pt>
                <c:pt idx="1">
                  <c:v>26</c:v>
                </c:pt>
                <c:pt idx="2">
                  <c:v>33</c:v>
                </c:pt>
                <c:pt idx="3">
                  <c:v>34</c:v>
                </c:pt>
                <c:pt idx="4">
                  <c:v>46</c:v>
                </c:pt>
                <c:pt idx="5">
                  <c:v>48</c:v>
                </c:pt>
                <c:pt idx="6">
                  <c:v>49</c:v>
                </c:pt>
                <c:pt idx="7">
                  <c:v>49</c:v>
                </c:pt>
                <c:pt idx="8">
                  <c:v>61</c:v>
                </c:pt>
                <c:pt idx="9">
                  <c:v>66</c:v>
                </c:pt>
                <c:pt idx="10">
                  <c:v>69</c:v>
                </c:pt>
                <c:pt idx="11">
                  <c:v>74</c:v>
                </c:pt>
                <c:pt idx="12">
                  <c:v>75</c:v>
                </c:pt>
                <c:pt idx="13">
                  <c:v>78</c:v>
                </c:pt>
                <c:pt idx="14">
                  <c:v>79</c:v>
                </c:pt>
                <c:pt idx="15">
                  <c:v>88</c:v>
                </c:pt>
                <c:pt idx="16">
                  <c:v>97</c:v>
                </c:pt>
                <c:pt idx="17">
                  <c:v>98</c:v>
                </c:pt>
                <c:pt idx="18">
                  <c:v>113</c:v>
                </c:pt>
                <c:pt idx="19">
                  <c:v>123</c:v>
                </c:pt>
                <c:pt idx="20">
                  <c:v>123</c:v>
                </c:pt>
                <c:pt idx="21">
                  <c:v>130</c:v>
                </c:pt>
                <c:pt idx="22">
                  <c:v>143</c:v>
                </c:pt>
                <c:pt idx="23">
                  <c:v>144</c:v>
                </c:pt>
                <c:pt idx="24">
                  <c:v>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43-47F9-BA64-A416F5B18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471296"/>
        <c:axId val="138472832"/>
      </c:barChart>
      <c:catAx>
        <c:axId val="138471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2832"/>
        <c:crosses val="autoZero"/>
        <c:auto val="1"/>
        <c:lblAlgn val="ctr"/>
        <c:lblOffset val="100"/>
        <c:noMultiLvlLbl val="0"/>
      </c:catAx>
      <c:valAx>
        <c:axId val="1384728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ogółem według stanu</a:t>
            </a:r>
            <a:r>
              <a:rPr lang="pl-PL" sz="800" b="0" baseline="0">
                <a:latin typeface="Arial" panose="020B0604020202020204" pitchFamily="34" charset="0"/>
                <a:cs typeface="Arial" panose="020B0604020202020204" pitchFamily="34" charset="0"/>
              </a:rPr>
              <a:t> na koniec miesiąca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(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w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olne miejsca pracy</a:t>
            </a:r>
            <a:endParaRPr lang="pl-PL" sz="800" b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i miejsca aktywizacji zawodowej) wg powiatów</a:t>
            </a:r>
          </a:p>
        </c:rich>
      </c:tx>
      <c:layout>
        <c:manualLayout>
          <c:xMode val="edge"/>
          <c:yMode val="edge"/>
          <c:x val="0.2104416159680096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'11_sort'!$B$1</c:f>
              <c:strCache>
                <c:ptCount val="1"/>
                <c:pt idx="0">
                  <c:v>Oferty pracy ogółem według stanu na koniec miesiąca (wolne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379-4153-AE4E-564F7750153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379-4153-AE4E-564F775015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'11_sort'!$C$4:$C$28</c:f>
              <c:strCache>
                <c:ptCount val="25"/>
                <c:pt idx="0">
                  <c:v>brzozowski</c:v>
                </c:pt>
                <c:pt idx="1">
                  <c:v>leski</c:v>
                </c:pt>
                <c:pt idx="2">
                  <c:v>przemyski</c:v>
                </c:pt>
                <c:pt idx="3">
                  <c:v>bieszczadzki</c:v>
                </c:pt>
                <c:pt idx="4">
                  <c:v>Przemyśl</c:v>
                </c:pt>
                <c:pt idx="5">
                  <c:v>sanocki</c:v>
                </c:pt>
                <c:pt idx="6">
                  <c:v>Tarnobrzeg</c:v>
                </c:pt>
                <c:pt idx="7">
                  <c:v>Krosno</c:v>
                </c:pt>
                <c:pt idx="8">
                  <c:v>tarnobrzeski </c:v>
                </c:pt>
                <c:pt idx="9">
                  <c:v>ropczycko-sędziszowski</c:v>
                </c:pt>
                <c:pt idx="10">
                  <c:v>lubaczowski</c:v>
                </c:pt>
                <c:pt idx="11">
                  <c:v>stalowowolski</c:v>
                </c:pt>
                <c:pt idx="12">
                  <c:v>niżański</c:v>
                </c:pt>
                <c:pt idx="13">
                  <c:v>leżajski</c:v>
                </c:pt>
                <c:pt idx="14">
                  <c:v>kolbuszowski</c:v>
                </c:pt>
                <c:pt idx="15">
                  <c:v>rzeszowski</c:v>
                </c:pt>
                <c:pt idx="16">
                  <c:v>łańcucki</c:v>
                </c:pt>
                <c:pt idx="17">
                  <c:v>krośnieński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jarosławski</c:v>
                </c:pt>
                <c:pt idx="21">
                  <c:v>jasielski</c:v>
                </c:pt>
                <c:pt idx="22">
                  <c:v>dębicki</c:v>
                </c:pt>
                <c:pt idx="23">
                  <c:v>mielecki</c:v>
                </c:pt>
                <c:pt idx="24">
                  <c:v>Rzeszów</c:v>
                </c:pt>
              </c:strCache>
            </c:strRef>
          </c:cat>
          <c:val>
            <c:numRef>
              <c:f>'11_sort'!$D$4:$D$28</c:f>
              <c:numCache>
                <c:formatCode>#,##0</c:formatCode>
                <c:ptCount val="25"/>
                <c:pt idx="0" formatCode="General">
                  <c:v>6</c:v>
                </c:pt>
                <c:pt idx="1">
                  <c:v>9</c:v>
                </c:pt>
                <c:pt idx="2">
                  <c:v>20</c:v>
                </c:pt>
                <c:pt idx="3">
                  <c:v>35</c:v>
                </c:pt>
                <c:pt idx="4">
                  <c:v>36</c:v>
                </c:pt>
                <c:pt idx="5">
                  <c:v>50</c:v>
                </c:pt>
                <c:pt idx="6">
                  <c:v>50</c:v>
                </c:pt>
                <c:pt idx="7">
                  <c:v>52</c:v>
                </c:pt>
                <c:pt idx="8">
                  <c:v>53</c:v>
                </c:pt>
                <c:pt idx="9">
                  <c:v>56</c:v>
                </c:pt>
                <c:pt idx="10">
                  <c:v>59</c:v>
                </c:pt>
                <c:pt idx="11">
                  <c:v>67</c:v>
                </c:pt>
                <c:pt idx="12">
                  <c:v>72</c:v>
                </c:pt>
                <c:pt idx="13">
                  <c:v>73</c:v>
                </c:pt>
                <c:pt idx="14">
                  <c:v>79</c:v>
                </c:pt>
                <c:pt idx="15">
                  <c:v>87</c:v>
                </c:pt>
                <c:pt idx="16">
                  <c:v>101</c:v>
                </c:pt>
                <c:pt idx="17">
                  <c:v>107</c:v>
                </c:pt>
                <c:pt idx="18">
                  <c:v>109</c:v>
                </c:pt>
                <c:pt idx="19">
                  <c:v>127</c:v>
                </c:pt>
                <c:pt idx="20">
                  <c:v>132</c:v>
                </c:pt>
                <c:pt idx="21">
                  <c:v>159</c:v>
                </c:pt>
                <c:pt idx="22">
                  <c:v>191</c:v>
                </c:pt>
                <c:pt idx="23">
                  <c:v>228</c:v>
                </c:pt>
                <c:pt idx="24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79-4153-AE4E-564F77501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471296"/>
        <c:axId val="138472832"/>
      </c:barChart>
      <c:catAx>
        <c:axId val="138471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2832"/>
        <c:crosses val="autoZero"/>
        <c:auto val="1"/>
        <c:lblAlgn val="ctr"/>
        <c:lblOffset val="100"/>
        <c:noMultiLvlLbl val="0"/>
      </c:catAx>
      <c:valAx>
        <c:axId val="1384728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Bezrobotne kobiety zarejestrowane w PUP w woj. podkarpackim</a:t>
            </a:r>
          </a:p>
        </c:rich>
      </c:tx>
      <c:layout>
        <c:manualLayout>
          <c:xMode val="edge"/>
          <c:yMode val="edge"/>
          <c:x val="0.2156363544471164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171793945989809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'2_sort'!$B$1:$C$1</c:f>
              <c:strCache>
                <c:ptCount val="1"/>
                <c:pt idx="0">
                  <c:v>Bezrobotne kobiety zarejestrowane w PUP w woj.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D3C-4037-B1E0-F7AD38217C7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D3C-4037-B1E0-F7AD38217C7E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3C-4037-B1E0-F7AD38217C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leski</c:v>
                </c:pt>
                <c:pt idx="5">
                  <c:v>kolbuszowski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Przemyśl</c:v>
                </c:pt>
                <c:pt idx="10">
                  <c:v>łańcucki</c:v>
                </c:pt>
                <c:pt idx="11">
                  <c:v>sanocki</c:v>
                </c:pt>
                <c:pt idx="12">
                  <c:v>mielecki</c:v>
                </c:pt>
                <c:pt idx="13">
                  <c:v>ropczycko-sędziszowski</c:v>
                </c:pt>
                <c:pt idx="14">
                  <c:v>dębicki</c:v>
                </c:pt>
                <c:pt idx="15">
                  <c:v>przemyski</c:v>
                </c:pt>
                <c:pt idx="16">
                  <c:v>leżajski</c:v>
                </c:pt>
                <c:pt idx="17">
                  <c:v>niżański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Rzeszów</c:v>
                </c:pt>
                <c:pt idx="24">
                  <c:v>jasielski</c:v>
                </c:pt>
              </c:strCache>
            </c:strRef>
          </c:cat>
          <c:val>
            <c:numRef>
              <c:f>'2_sort'!$D$4:$D$28</c:f>
              <c:numCache>
                <c:formatCode>#,##0</c:formatCode>
                <c:ptCount val="25"/>
                <c:pt idx="0" formatCode="General">
                  <c:v>436</c:v>
                </c:pt>
                <c:pt idx="1">
                  <c:v>600</c:v>
                </c:pt>
                <c:pt idx="2">
                  <c:v>609</c:v>
                </c:pt>
                <c:pt idx="3">
                  <c:v>737</c:v>
                </c:pt>
                <c:pt idx="4">
                  <c:v>856</c:v>
                </c:pt>
                <c:pt idx="5">
                  <c:v>861</c:v>
                </c:pt>
                <c:pt idx="6">
                  <c:v>891</c:v>
                </c:pt>
                <c:pt idx="7">
                  <c:v>1089</c:v>
                </c:pt>
                <c:pt idx="8">
                  <c:v>1207</c:v>
                </c:pt>
                <c:pt idx="9">
                  <c:v>1229</c:v>
                </c:pt>
                <c:pt idx="10">
                  <c:v>1361</c:v>
                </c:pt>
                <c:pt idx="11">
                  <c:v>1422</c:v>
                </c:pt>
                <c:pt idx="12">
                  <c:v>1425</c:v>
                </c:pt>
                <c:pt idx="13">
                  <c:v>1509</c:v>
                </c:pt>
                <c:pt idx="14">
                  <c:v>1568</c:v>
                </c:pt>
                <c:pt idx="15">
                  <c:v>1631</c:v>
                </c:pt>
                <c:pt idx="16">
                  <c:v>1707</c:v>
                </c:pt>
                <c:pt idx="17">
                  <c:v>1718</c:v>
                </c:pt>
                <c:pt idx="18">
                  <c:v>1749</c:v>
                </c:pt>
                <c:pt idx="19">
                  <c:v>1953</c:v>
                </c:pt>
                <c:pt idx="20">
                  <c:v>2090</c:v>
                </c:pt>
                <c:pt idx="21">
                  <c:v>2548</c:v>
                </c:pt>
                <c:pt idx="22">
                  <c:v>2571</c:v>
                </c:pt>
                <c:pt idx="23">
                  <c:v>2829</c:v>
                </c:pt>
                <c:pt idx="24">
                  <c:v>2896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3C-4037-B1E0-F7AD38217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8241792"/>
        <c:axId val="208243712"/>
      </c:barChart>
      <c:catAx>
        <c:axId val="208241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8243712"/>
        <c:crosses val="autoZero"/>
        <c:auto val="1"/>
        <c:lblAlgn val="ctr"/>
        <c:lblOffset val="100"/>
        <c:noMultiLvlLbl val="0"/>
      </c:catAx>
      <c:valAx>
        <c:axId val="2082437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824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województw</a:t>
            </a:r>
          </a:p>
        </c:rich>
      </c:tx>
      <c:layout>
        <c:manualLayout>
          <c:xMode val="edge"/>
          <c:yMode val="edge"/>
          <c:x val="0.27654538642851895"/>
          <c:y val="3.474237012654424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'3_sort'!$B$1</c:f>
              <c:strCache>
                <c:ptCount val="1"/>
                <c:pt idx="0">
                  <c:v>Stopa bezrobocia rejestrowanego - wg województw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151-4BBA-97F7-B4F2CAA94FA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151-4BBA-97F7-B4F2CAA94FA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151-4BBA-97F7-B4F2CAA94FA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151-4BBA-97F7-B4F2CAA94FA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151-4BBA-97F7-B4F2CAA94FA1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'3_sort'!$C$4:$C$20</c:f>
              <c:strCache>
                <c:ptCount val="17"/>
                <c:pt idx="0">
                  <c:v>WIELKOPOLSKIE</c:v>
                </c:pt>
                <c:pt idx="1">
                  <c:v>ŚLĄSKIE</c:v>
                </c:pt>
                <c:pt idx="2">
                  <c:v>MAZOWIECKIE</c:v>
                </c:pt>
                <c:pt idx="3">
                  <c:v>LUBUSKIE</c:v>
                </c:pt>
                <c:pt idx="4">
                  <c:v>DOLNOŚLĄSKIE</c:v>
                </c:pt>
                <c:pt idx="5">
                  <c:v>MAŁOPOLSKIE</c:v>
                </c:pt>
                <c:pt idx="6">
                  <c:v>POMORSKIE</c:v>
                </c:pt>
                <c:pt idx="7">
                  <c:v>POLSKA</c:v>
                </c:pt>
                <c:pt idx="8">
                  <c:v>ŁÓDZKIE</c:v>
                </c:pt>
                <c:pt idx="9">
                  <c:v>OPOLSKIE</c:v>
                </c:pt>
                <c:pt idx="10">
                  <c:v>ZACHODNIOPOMORSKIE</c:v>
                </c:pt>
                <c:pt idx="11">
                  <c:v>PODLASKIE</c:v>
                </c:pt>
                <c:pt idx="12">
                  <c:v>KUJAWSKO-POMORSKIE</c:v>
                </c:pt>
                <c:pt idx="13">
                  <c:v>ŚWIĘTOKRZYSKIE</c:v>
                </c:pt>
                <c:pt idx="14">
                  <c:v>LUBELSKIE</c:v>
                </c:pt>
                <c:pt idx="15">
                  <c:v>PODKARPACKIE</c:v>
                </c:pt>
                <c:pt idx="16">
                  <c:v>WARMIŃSKO-MAZURSKIE</c:v>
                </c:pt>
              </c:strCache>
            </c:strRef>
          </c:cat>
          <c:val>
            <c:numRef>
              <c:f>'3_sort'!$D$4:$D$20</c:f>
              <c:numCache>
                <c:formatCode>0.0</c:formatCode>
                <c:ptCount val="17"/>
                <c:pt idx="0">
                  <c:v>3.2</c:v>
                </c:pt>
                <c:pt idx="1">
                  <c:v>3.9</c:v>
                </c:pt>
                <c:pt idx="2">
                  <c:v>4.4000000000000004</c:v>
                </c:pt>
                <c:pt idx="3">
                  <c:v>4.7</c:v>
                </c:pt>
                <c:pt idx="4">
                  <c:v>4.8</c:v>
                </c:pt>
                <c:pt idx="5">
                  <c:v>4.9000000000000004</c:v>
                </c:pt>
                <c:pt idx="6">
                  <c:v>5</c:v>
                </c:pt>
                <c:pt idx="7">
                  <c:v>5.5</c:v>
                </c:pt>
                <c:pt idx="8">
                  <c:v>5.8</c:v>
                </c:pt>
                <c:pt idx="9">
                  <c:v>6.5</c:v>
                </c:pt>
                <c:pt idx="10">
                  <c:v>7.1</c:v>
                </c:pt>
                <c:pt idx="11">
                  <c:v>7.6</c:v>
                </c:pt>
                <c:pt idx="12">
                  <c:v>7.8</c:v>
                </c:pt>
                <c:pt idx="13">
                  <c:v>8.3000000000000007</c:v>
                </c:pt>
                <c:pt idx="14">
                  <c:v>8.4</c:v>
                </c:pt>
                <c:pt idx="15">
                  <c:v>9.1999999999999993</c:v>
                </c:pt>
                <c:pt idx="16">
                  <c:v>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51-4BBA-97F7-B4F2CAA94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3823488"/>
        <c:axId val="43825024"/>
      </c:barChart>
      <c:catAx>
        <c:axId val="43823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3825024"/>
        <c:crosses val="autoZero"/>
        <c:auto val="1"/>
        <c:lblAlgn val="ctr"/>
        <c:lblOffset val="100"/>
        <c:noMultiLvlLbl val="0"/>
      </c:catAx>
      <c:valAx>
        <c:axId val="43825024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crossAx val="4382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powiatów w województwie podkarpackim</a:t>
            </a:r>
          </a:p>
        </c:rich>
      </c:tx>
      <c:layout>
        <c:manualLayout>
          <c:xMode val="edge"/>
          <c:yMode val="edge"/>
          <c:x val="0.28801292390590288"/>
          <c:y val="3.193785919103019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435292930213782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'4_sort'!$B$1</c:f>
              <c:strCache>
                <c:ptCount val="1"/>
                <c:pt idx="0">
                  <c:v>Stopa bezrobocia rejestrowanego - wg powiatów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E62-495A-B5ED-EB078D5C989D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E62-495A-B5ED-EB078D5C989D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E62-495A-B5ED-EB078D5C989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E62-495A-B5ED-EB078D5C989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E62-495A-B5ED-EB078D5C989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E62-495A-B5ED-EB078D5C989D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'4_sort'!$C$4:$C$30</c:f>
              <c:strCache>
                <c:ptCount val="27"/>
                <c:pt idx="0">
                  <c:v>Powiat m.Krosno</c:v>
                </c:pt>
                <c:pt idx="1">
                  <c:v>Powiat m.Rzeszów</c:v>
                </c:pt>
                <c:pt idx="2">
                  <c:v>Powiat mielecki</c:v>
                </c:pt>
                <c:pt idx="3">
                  <c:v>Powiat dębicki</c:v>
                </c:pt>
                <c:pt idx="4">
                  <c:v>Powiat stalowowolski</c:v>
                </c:pt>
                <c:pt idx="5">
                  <c:v>POLSKA</c:v>
                </c:pt>
                <c:pt idx="6">
                  <c:v>Powiat m.Tarnobrzeg</c:v>
                </c:pt>
                <c:pt idx="7">
                  <c:v>Powiat tarnobrzeski</c:v>
                </c:pt>
                <c:pt idx="8">
                  <c:v>Powiat sanocki</c:v>
                </c:pt>
                <c:pt idx="9">
                  <c:v>Powiat krośnieński</c:v>
                </c:pt>
                <c:pt idx="10">
                  <c:v>Powiat rzeszowski</c:v>
                </c:pt>
                <c:pt idx="11">
                  <c:v>Powiat kolbuszowski</c:v>
                </c:pt>
                <c:pt idx="12">
                  <c:v>PODKARPACKIE</c:v>
                </c:pt>
                <c:pt idx="13">
                  <c:v>Powiat m.Przemyśl</c:v>
                </c:pt>
                <c:pt idx="14">
                  <c:v>Powiat łańcucki</c:v>
                </c:pt>
                <c:pt idx="15">
                  <c:v>Powiat ropczycko-sędziszowski</c:v>
                </c:pt>
                <c:pt idx="16">
                  <c:v>Powiat lubaczowski</c:v>
                </c:pt>
                <c:pt idx="17">
                  <c:v>Powiat jarosławski</c:v>
                </c:pt>
                <c:pt idx="18">
                  <c:v>Powiat jasielski</c:v>
                </c:pt>
                <c:pt idx="19">
                  <c:v>Powiat przeworski</c:v>
                </c:pt>
                <c:pt idx="20">
                  <c:v>Powiat leżajski</c:v>
                </c:pt>
                <c:pt idx="21">
                  <c:v>Powiat bieszczadzki</c:v>
                </c:pt>
                <c:pt idx="22">
                  <c:v>Powiat przemyski</c:v>
                </c:pt>
                <c:pt idx="23">
                  <c:v>Powiat niżański</c:v>
                </c:pt>
                <c:pt idx="24">
                  <c:v>Powiat strzyżowski</c:v>
                </c:pt>
                <c:pt idx="25">
                  <c:v>Powiat leski</c:v>
                </c:pt>
                <c:pt idx="26">
                  <c:v>Powiat brzozowski</c:v>
                </c:pt>
              </c:strCache>
            </c:strRef>
          </c:cat>
          <c:val>
            <c:numRef>
              <c:f>'4_sort'!$D$4:$D$30</c:f>
              <c:numCache>
                <c:formatCode>0.0</c:formatCode>
                <c:ptCount val="27"/>
                <c:pt idx="0">
                  <c:v>2.8</c:v>
                </c:pt>
                <c:pt idx="1">
                  <c:v>4.3</c:v>
                </c:pt>
                <c:pt idx="2">
                  <c:v>4.8</c:v>
                </c:pt>
                <c:pt idx="3">
                  <c:v>5.0999999999999996</c:v>
                </c:pt>
                <c:pt idx="4">
                  <c:v>5.0999999999999996</c:v>
                </c:pt>
                <c:pt idx="5">
                  <c:v>5.5</c:v>
                </c:pt>
                <c:pt idx="6">
                  <c:v>7.3</c:v>
                </c:pt>
                <c:pt idx="7">
                  <c:v>7.7</c:v>
                </c:pt>
                <c:pt idx="8">
                  <c:v>8.3000000000000007</c:v>
                </c:pt>
                <c:pt idx="9">
                  <c:v>8.5</c:v>
                </c:pt>
                <c:pt idx="10">
                  <c:v>8.8000000000000007</c:v>
                </c:pt>
                <c:pt idx="11">
                  <c:v>9.1</c:v>
                </c:pt>
                <c:pt idx="12">
                  <c:v>9.1999999999999993</c:v>
                </c:pt>
                <c:pt idx="13">
                  <c:v>9.6999999999999993</c:v>
                </c:pt>
                <c:pt idx="14">
                  <c:v>10.6</c:v>
                </c:pt>
                <c:pt idx="15">
                  <c:v>11.7</c:v>
                </c:pt>
                <c:pt idx="16">
                  <c:v>11.8</c:v>
                </c:pt>
                <c:pt idx="17">
                  <c:v>12</c:v>
                </c:pt>
                <c:pt idx="18">
                  <c:v>13.4</c:v>
                </c:pt>
                <c:pt idx="19">
                  <c:v>14.9</c:v>
                </c:pt>
                <c:pt idx="20">
                  <c:v>15.8</c:v>
                </c:pt>
                <c:pt idx="21">
                  <c:v>17</c:v>
                </c:pt>
                <c:pt idx="22">
                  <c:v>17.899999999999999</c:v>
                </c:pt>
                <c:pt idx="23">
                  <c:v>18.100000000000001</c:v>
                </c:pt>
                <c:pt idx="24">
                  <c:v>18.7</c:v>
                </c:pt>
                <c:pt idx="25">
                  <c:v>20</c:v>
                </c:pt>
                <c:pt idx="26">
                  <c:v>21.5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62-495A-B5ED-EB078D5C9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009920"/>
        <c:axId val="45011712"/>
      </c:barChart>
      <c:catAx>
        <c:axId val="45009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011712"/>
        <c:crosses val="autoZero"/>
        <c:auto val="1"/>
        <c:lblAlgn val="ctr"/>
        <c:lblOffset val="100"/>
        <c:noMultiLvlLbl val="0"/>
      </c:catAx>
      <c:valAx>
        <c:axId val="450117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0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zamieszkłaych na wsi w województwie podkarpackim</a:t>
            </a:r>
          </a:p>
        </c:rich>
      </c:tx>
      <c:layout>
        <c:manualLayout>
          <c:xMode val="edge"/>
          <c:yMode val="edge"/>
          <c:x val="0.30270230792241981"/>
          <c:y val="2.90151982978374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'5_sort'!$B$1</c:f>
              <c:strCache>
                <c:ptCount val="1"/>
                <c:pt idx="0">
                  <c:v>Liczba bezrobotnych zamieszkłaych na wsi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EF6-4CD7-AD3E-E88E51C3A65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EF6-4CD7-AD3E-E88E51C3A65C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F6-4CD7-AD3E-E88E51C3A6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'5_sort'!$C$4:$C$24</c:f>
              <c:strCache>
                <c:ptCount val="21"/>
                <c:pt idx="0">
                  <c:v>bieszczadzki</c:v>
                </c:pt>
                <c:pt idx="1">
                  <c:v>stalowowolski</c:v>
                </c:pt>
                <c:pt idx="2">
                  <c:v>tarnobrzeski </c:v>
                </c:pt>
                <c:pt idx="3">
                  <c:v>lubaczowski</c:v>
                </c:pt>
                <c:pt idx="4">
                  <c:v>mielecki</c:v>
                </c:pt>
                <c:pt idx="5">
                  <c:v>leski</c:v>
                </c:pt>
                <c:pt idx="6">
                  <c:v>kolbuszowski</c:v>
                </c:pt>
                <c:pt idx="7">
                  <c:v>dębicki</c:v>
                </c:pt>
                <c:pt idx="8">
                  <c:v>sanocki</c:v>
                </c:pt>
                <c:pt idx="9">
                  <c:v>ropczycko-sędziszowski</c:v>
                </c:pt>
                <c:pt idx="10">
                  <c:v>krośnieński</c:v>
                </c:pt>
                <c:pt idx="11">
                  <c:v>niżański</c:v>
                </c:pt>
                <c:pt idx="12">
                  <c:v>łańcucki</c:v>
                </c:pt>
                <c:pt idx="13">
                  <c:v>leżajski</c:v>
                </c:pt>
                <c:pt idx="14">
                  <c:v>przeworski</c:v>
                </c:pt>
                <c:pt idx="15">
                  <c:v>jarosławski</c:v>
                </c:pt>
                <c:pt idx="16">
                  <c:v>strzyżowski</c:v>
                </c:pt>
                <c:pt idx="17">
                  <c:v>przemyski</c:v>
                </c:pt>
                <c:pt idx="18">
                  <c:v>jasielski</c:v>
                </c:pt>
                <c:pt idx="19">
                  <c:v>brzozowski</c:v>
                </c:pt>
                <c:pt idx="20">
                  <c:v>rzeszowski</c:v>
                </c:pt>
              </c:strCache>
            </c:strRef>
          </c:cat>
          <c:val>
            <c:numRef>
              <c:f>'5_sort'!$D$4:$D$24</c:f>
              <c:numCache>
                <c:formatCode>#,##0</c:formatCode>
                <c:ptCount val="21"/>
                <c:pt idx="0" formatCode="General">
                  <c:v>751</c:v>
                </c:pt>
                <c:pt idx="1">
                  <c:v>840</c:v>
                </c:pt>
                <c:pt idx="2">
                  <c:v>1119</c:v>
                </c:pt>
                <c:pt idx="3">
                  <c:v>1308</c:v>
                </c:pt>
                <c:pt idx="4">
                  <c:v>1403</c:v>
                </c:pt>
                <c:pt idx="5">
                  <c:v>1493</c:v>
                </c:pt>
                <c:pt idx="6">
                  <c:v>1504</c:v>
                </c:pt>
                <c:pt idx="7">
                  <c:v>1599</c:v>
                </c:pt>
                <c:pt idx="8">
                  <c:v>1635</c:v>
                </c:pt>
                <c:pt idx="9">
                  <c:v>1849</c:v>
                </c:pt>
                <c:pt idx="10">
                  <c:v>2017</c:v>
                </c:pt>
                <c:pt idx="11">
                  <c:v>2120</c:v>
                </c:pt>
                <c:pt idx="12">
                  <c:v>2199</c:v>
                </c:pt>
                <c:pt idx="13">
                  <c:v>2524</c:v>
                </c:pt>
                <c:pt idx="14">
                  <c:v>2746</c:v>
                </c:pt>
                <c:pt idx="15">
                  <c:v>3038</c:v>
                </c:pt>
                <c:pt idx="16">
                  <c:v>3050</c:v>
                </c:pt>
                <c:pt idx="17">
                  <c:v>3126</c:v>
                </c:pt>
                <c:pt idx="18">
                  <c:v>3664</c:v>
                </c:pt>
                <c:pt idx="19">
                  <c:v>3792</c:v>
                </c:pt>
                <c:pt idx="20">
                  <c:v>4049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F6-4CD7-AD3E-E88E51C3A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204992"/>
        <c:axId val="45206528"/>
      </c:barChart>
      <c:catAx>
        <c:axId val="45204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06528"/>
        <c:crosses val="autoZero"/>
        <c:auto val="1"/>
        <c:lblAlgn val="ctr"/>
        <c:lblOffset val="100"/>
        <c:noMultiLvlLbl val="0"/>
      </c:catAx>
      <c:valAx>
        <c:axId val="4520652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0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12 m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-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*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 (w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szczególnej syt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na rynku pracy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608225946856062"/>
          <c:y val="2.8041115912929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'6_sort'!$B$1</c:f>
              <c:strCache>
                <c:ptCount val="1"/>
                <c:pt idx="0">
                  <c:v>Liczba bezrobotnych powyżej 12 miesięcy*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E6E-4E84-AD9E-6E14E79C369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E6E-4E84-AD9E-6E14E79C3697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E6E-4E84-AD9E-6E14E79C36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stalowowolski</c:v>
                </c:pt>
                <c:pt idx="5">
                  <c:v>kolbuszowski</c:v>
                </c:pt>
                <c:pt idx="6">
                  <c:v>krośnieński</c:v>
                </c:pt>
                <c:pt idx="7">
                  <c:v>lubaczowski</c:v>
                </c:pt>
                <c:pt idx="8">
                  <c:v>dębicki</c:v>
                </c:pt>
                <c:pt idx="9">
                  <c:v>leski</c:v>
                </c:pt>
                <c:pt idx="10">
                  <c:v>mielecki</c:v>
                </c:pt>
                <c:pt idx="11">
                  <c:v>sanocki</c:v>
                </c:pt>
                <c:pt idx="12">
                  <c:v>łańcucki</c:v>
                </c:pt>
                <c:pt idx="13">
                  <c:v>ropczycko-sędziszowski</c:v>
                </c:pt>
                <c:pt idx="14">
                  <c:v>Przemyśl</c:v>
                </c:pt>
                <c:pt idx="15">
                  <c:v>niżański</c:v>
                </c:pt>
                <c:pt idx="16">
                  <c:v>przemyski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'6_sort'!$D$4:$D$28</c:f>
              <c:numCache>
                <c:formatCode>#,##0</c:formatCode>
                <c:ptCount val="25"/>
                <c:pt idx="0" formatCode="General">
                  <c:v>330</c:v>
                </c:pt>
                <c:pt idx="1">
                  <c:v>615</c:v>
                </c:pt>
                <c:pt idx="2">
                  <c:v>661</c:v>
                </c:pt>
                <c:pt idx="3">
                  <c:v>705</c:v>
                </c:pt>
                <c:pt idx="4">
                  <c:v>822</c:v>
                </c:pt>
                <c:pt idx="5">
                  <c:v>833</c:v>
                </c:pt>
                <c:pt idx="6">
                  <c:v>988</c:v>
                </c:pt>
                <c:pt idx="7">
                  <c:v>1004</c:v>
                </c:pt>
                <c:pt idx="8">
                  <c:v>1051</c:v>
                </c:pt>
                <c:pt idx="9">
                  <c:v>1106</c:v>
                </c:pt>
                <c:pt idx="10">
                  <c:v>1242</c:v>
                </c:pt>
                <c:pt idx="11">
                  <c:v>1366</c:v>
                </c:pt>
                <c:pt idx="12">
                  <c:v>1424</c:v>
                </c:pt>
                <c:pt idx="13">
                  <c:v>1536</c:v>
                </c:pt>
                <c:pt idx="14">
                  <c:v>1632</c:v>
                </c:pt>
                <c:pt idx="15">
                  <c:v>1820</c:v>
                </c:pt>
                <c:pt idx="16">
                  <c:v>1926</c:v>
                </c:pt>
                <c:pt idx="17">
                  <c:v>1979</c:v>
                </c:pt>
                <c:pt idx="18">
                  <c:v>2087</c:v>
                </c:pt>
                <c:pt idx="19">
                  <c:v>2207</c:v>
                </c:pt>
                <c:pt idx="20">
                  <c:v>2642</c:v>
                </c:pt>
                <c:pt idx="21">
                  <c:v>2825</c:v>
                </c:pt>
                <c:pt idx="22">
                  <c:v>2954</c:v>
                </c:pt>
                <c:pt idx="23">
                  <c:v>3100</c:v>
                </c:pt>
                <c:pt idx="24">
                  <c:v>3369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6E-4E84-AD9E-6E14E79C3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280640"/>
        <c:axId val="134677632"/>
      </c:barChart>
      <c:catAx>
        <c:axId val="45280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677632"/>
        <c:crosses val="autoZero"/>
        <c:auto val="1"/>
        <c:lblAlgn val="ctr"/>
        <c:lblOffset val="100"/>
        <c:noMultiLvlLbl val="0"/>
      </c:catAx>
      <c:valAx>
        <c:axId val="1346776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8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do 30 roku życia (w szczególnej sytuacji na rynku pracy)</a:t>
            </a:r>
          </a:p>
        </c:rich>
      </c:tx>
      <c:layout>
        <c:manualLayout>
          <c:xMode val="edge"/>
          <c:yMode val="edge"/>
          <c:x val="0.21171269709515514"/>
          <c:y val="2.3890521264373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12009269479742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'7_sort'!$B$1</c:f>
              <c:strCache>
                <c:ptCount val="1"/>
                <c:pt idx="0">
                  <c:v>Liczba bezrobotnych do 30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F08-4446-B601-462C57B2D81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F08-4446-B601-462C57B2D81C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08-4446-B601-462C57B2D8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Przemyśl</c:v>
                </c:pt>
                <c:pt idx="5">
                  <c:v>leski</c:v>
                </c:pt>
                <c:pt idx="6">
                  <c:v>kolbuszowski</c:v>
                </c:pt>
                <c:pt idx="7">
                  <c:v>stalowowolski</c:v>
                </c:pt>
                <c:pt idx="8">
                  <c:v>lubaczowski</c:v>
                </c:pt>
                <c:pt idx="9">
                  <c:v>krośnieński</c:v>
                </c:pt>
                <c:pt idx="10">
                  <c:v>mielecki</c:v>
                </c:pt>
                <c:pt idx="11">
                  <c:v>sanocki</c:v>
                </c:pt>
                <c:pt idx="12">
                  <c:v>ropczycko-sędziszowski</c:v>
                </c:pt>
                <c:pt idx="13">
                  <c:v>dębicki</c:v>
                </c:pt>
                <c:pt idx="14">
                  <c:v>łańcucki</c:v>
                </c:pt>
                <c:pt idx="15">
                  <c:v>przemyski</c:v>
                </c:pt>
                <c:pt idx="16">
                  <c:v>niżański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Rzeszów</c:v>
                </c:pt>
                <c:pt idx="21">
                  <c:v>brzozowski</c:v>
                </c:pt>
                <c:pt idx="22">
                  <c:v>rzeszowski</c:v>
                </c:pt>
                <c:pt idx="23">
                  <c:v>jarosławski</c:v>
                </c:pt>
                <c:pt idx="24">
                  <c:v>jasielski</c:v>
                </c:pt>
              </c:strCache>
            </c:strRef>
          </c:cat>
          <c:val>
            <c:numRef>
              <c:f>'7_sort'!$D$4:$D$28</c:f>
              <c:numCache>
                <c:formatCode>#,##0</c:formatCode>
                <c:ptCount val="25"/>
                <c:pt idx="0" formatCode="General">
                  <c:v>152</c:v>
                </c:pt>
                <c:pt idx="1">
                  <c:v>218</c:v>
                </c:pt>
                <c:pt idx="2">
                  <c:v>321</c:v>
                </c:pt>
                <c:pt idx="3">
                  <c:v>364</c:v>
                </c:pt>
                <c:pt idx="4">
                  <c:v>459</c:v>
                </c:pt>
                <c:pt idx="5">
                  <c:v>478</c:v>
                </c:pt>
                <c:pt idx="6">
                  <c:v>506</c:v>
                </c:pt>
                <c:pt idx="7">
                  <c:v>528</c:v>
                </c:pt>
                <c:pt idx="8">
                  <c:v>563</c:v>
                </c:pt>
                <c:pt idx="9">
                  <c:v>586</c:v>
                </c:pt>
                <c:pt idx="10">
                  <c:v>734</c:v>
                </c:pt>
                <c:pt idx="11">
                  <c:v>794</c:v>
                </c:pt>
                <c:pt idx="12">
                  <c:v>797</c:v>
                </c:pt>
                <c:pt idx="13">
                  <c:v>807</c:v>
                </c:pt>
                <c:pt idx="14">
                  <c:v>832</c:v>
                </c:pt>
                <c:pt idx="15">
                  <c:v>851</c:v>
                </c:pt>
                <c:pt idx="16">
                  <c:v>883</c:v>
                </c:pt>
                <c:pt idx="17">
                  <c:v>941</c:v>
                </c:pt>
                <c:pt idx="18">
                  <c:v>947</c:v>
                </c:pt>
                <c:pt idx="19">
                  <c:v>1000</c:v>
                </c:pt>
                <c:pt idx="20">
                  <c:v>1000</c:v>
                </c:pt>
                <c:pt idx="21">
                  <c:v>1058</c:v>
                </c:pt>
                <c:pt idx="22">
                  <c:v>1317</c:v>
                </c:pt>
                <c:pt idx="23">
                  <c:v>1324</c:v>
                </c:pt>
                <c:pt idx="24">
                  <c:v>1340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08-4446-B601-462C57B2D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4739840"/>
        <c:axId val="134741376"/>
      </c:barChart>
      <c:catAx>
        <c:axId val="134739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741376"/>
        <c:crosses val="autoZero"/>
        <c:auto val="1"/>
        <c:lblAlgn val="ctr"/>
        <c:lblOffset val="100"/>
        <c:noMultiLvlLbl val="0"/>
      </c:catAx>
      <c:valAx>
        <c:axId val="13474137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73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50 roku życia 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w szczególnej sytuacji na rynku pracy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622374139943246"/>
          <c:y val="1.0855316402468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'8_sort'!$B$1</c:f>
              <c:strCache>
                <c:ptCount val="1"/>
                <c:pt idx="0">
                  <c:v>Liczba bezrobotnych powyżej 50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F13-48FD-9FD4-90757E06598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F13-48FD-9FD4-90757E0659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leski</c:v>
                </c:pt>
                <c:pt idx="5">
                  <c:v>kolbuszowski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dębicki</c:v>
                </c:pt>
                <c:pt idx="10">
                  <c:v>ropczycko-sędziszowski</c:v>
                </c:pt>
                <c:pt idx="11">
                  <c:v>sanocki</c:v>
                </c:pt>
                <c:pt idx="12">
                  <c:v>łańcucki</c:v>
                </c:pt>
                <c:pt idx="13">
                  <c:v>mielecki</c:v>
                </c:pt>
                <c:pt idx="14">
                  <c:v>przeworski</c:v>
                </c:pt>
                <c:pt idx="15">
                  <c:v>Przemyśl</c:v>
                </c:pt>
                <c:pt idx="16">
                  <c:v>leżajski</c:v>
                </c:pt>
                <c:pt idx="17">
                  <c:v>przemyski</c:v>
                </c:pt>
                <c:pt idx="18">
                  <c:v>niżański</c:v>
                </c:pt>
                <c:pt idx="19">
                  <c:v>strzyżowski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jasielski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'8_sort'!$D$4:$D$28</c:f>
              <c:numCache>
                <c:formatCode>#,##0</c:formatCode>
                <c:ptCount val="25"/>
                <c:pt idx="0" formatCode="General">
                  <c:v>189</c:v>
                </c:pt>
                <c:pt idx="1">
                  <c:v>280</c:v>
                </c:pt>
                <c:pt idx="2">
                  <c:v>348</c:v>
                </c:pt>
                <c:pt idx="3">
                  <c:v>389</c:v>
                </c:pt>
                <c:pt idx="4">
                  <c:v>447</c:v>
                </c:pt>
                <c:pt idx="5">
                  <c:v>456</c:v>
                </c:pt>
                <c:pt idx="6">
                  <c:v>523</c:v>
                </c:pt>
                <c:pt idx="7">
                  <c:v>544</c:v>
                </c:pt>
                <c:pt idx="8">
                  <c:v>579</c:v>
                </c:pt>
                <c:pt idx="9">
                  <c:v>610</c:v>
                </c:pt>
                <c:pt idx="10">
                  <c:v>647</c:v>
                </c:pt>
                <c:pt idx="11">
                  <c:v>650</c:v>
                </c:pt>
                <c:pt idx="12">
                  <c:v>658</c:v>
                </c:pt>
                <c:pt idx="13">
                  <c:v>716</c:v>
                </c:pt>
                <c:pt idx="14">
                  <c:v>738</c:v>
                </c:pt>
                <c:pt idx="15">
                  <c:v>760</c:v>
                </c:pt>
                <c:pt idx="16">
                  <c:v>771</c:v>
                </c:pt>
                <c:pt idx="17">
                  <c:v>771</c:v>
                </c:pt>
                <c:pt idx="18">
                  <c:v>793</c:v>
                </c:pt>
                <c:pt idx="19">
                  <c:v>806</c:v>
                </c:pt>
                <c:pt idx="20">
                  <c:v>1025</c:v>
                </c:pt>
                <c:pt idx="21">
                  <c:v>1153</c:v>
                </c:pt>
                <c:pt idx="22">
                  <c:v>1185</c:v>
                </c:pt>
                <c:pt idx="23">
                  <c:v>1297</c:v>
                </c:pt>
                <c:pt idx="24">
                  <c:v>1521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13-48FD-9FD4-90757E065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7716480"/>
        <c:axId val="137718016"/>
      </c:barChart>
      <c:catAx>
        <c:axId val="137716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7718016"/>
        <c:crosses val="autoZero"/>
        <c:auto val="1"/>
        <c:lblAlgn val="ctr"/>
        <c:lblOffset val="100"/>
        <c:noMultiLvlLbl val="0"/>
      </c:catAx>
      <c:valAx>
        <c:axId val="13771801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771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(wolne miejsca pracy i miejsca aktywizacji zawodowej) wg powiatów</a:t>
            </a:r>
          </a:p>
        </c:rich>
      </c:tx>
      <c:layout>
        <c:manualLayout>
          <c:xMode val="edge"/>
          <c:yMode val="edge"/>
          <c:x val="0.21857800421632848"/>
          <c:y val="3.17436953493958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'9_sort'!$B$1</c:f>
              <c:strCache>
                <c:ptCount val="1"/>
                <c:pt idx="0">
                  <c:v>Oferty pracy (wolne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4C5-4D00-A09D-0401A1EB00D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4C5-4D00-A09D-0401A1EB00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'9_sort'!$C$4:$C$28</c:f>
              <c:strCache>
                <c:ptCount val="25"/>
                <c:pt idx="0">
                  <c:v>leżajski</c:v>
                </c:pt>
                <c:pt idx="1">
                  <c:v>tarnobrzeski </c:v>
                </c:pt>
                <c:pt idx="2">
                  <c:v>brzozowski</c:v>
                </c:pt>
                <c:pt idx="3">
                  <c:v>przeworski</c:v>
                </c:pt>
                <c:pt idx="4">
                  <c:v>bieszczadzki</c:v>
                </c:pt>
                <c:pt idx="5">
                  <c:v>ropczycko-sędziszowski</c:v>
                </c:pt>
                <c:pt idx="6">
                  <c:v>Tarnobrzeg</c:v>
                </c:pt>
                <c:pt idx="7">
                  <c:v>sanocki</c:v>
                </c:pt>
                <c:pt idx="8">
                  <c:v>krośnieński</c:v>
                </c:pt>
                <c:pt idx="9">
                  <c:v>łańcucki</c:v>
                </c:pt>
                <c:pt idx="10">
                  <c:v>przemyski</c:v>
                </c:pt>
                <c:pt idx="11">
                  <c:v>stalowowolski</c:v>
                </c:pt>
                <c:pt idx="12">
                  <c:v>Rzeszów</c:v>
                </c:pt>
                <c:pt idx="13">
                  <c:v>mielecki</c:v>
                </c:pt>
                <c:pt idx="14">
                  <c:v>kolbuszowski</c:v>
                </c:pt>
                <c:pt idx="15">
                  <c:v>leski</c:v>
                </c:pt>
                <c:pt idx="16">
                  <c:v>lubaczowski</c:v>
                </c:pt>
                <c:pt idx="17">
                  <c:v>Krosno</c:v>
                </c:pt>
                <c:pt idx="18">
                  <c:v>Przemyśl</c:v>
                </c:pt>
                <c:pt idx="19">
                  <c:v>jasielski</c:v>
                </c:pt>
                <c:pt idx="20">
                  <c:v>rzeszowski</c:v>
                </c:pt>
                <c:pt idx="21">
                  <c:v>dębicki</c:v>
                </c:pt>
                <c:pt idx="22">
                  <c:v>jarosławski</c:v>
                </c:pt>
                <c:pt idx="23">
                  <c:v>niżański</c:v>
                </c:pt>
                <c:pt idx="24">
                  <c:v>strzyżowski</c:v>
                </c:pt>
              </c:strCache>
            </c:strRef>
          </c:cat>
          <c:val>
            <c:numRef>
              <c:f>'9_sort'!$D$4:$D$28</c:f>
              <c:numCache>
                <c:formatCode>#,##0</c:formatCode>
                <c:ptCount val="25"/>
                <c:pt idx="0" formatCode="General">
                  <c:v>35</c:v>
                </c:pt>
                <c:pt idx="1">
                  <c:v>46</c:v>
                </c:pt>
                <c:pt idx="2">
                  <c:v>54</c:v>
                </c:pt>
                <c:pt idx="3">
                  <c:v>61</c:v>
                </c:pt>
                <c:pt idx="4">
                  <c:v>72</c:v>
                </c:pt>
                <c:pt idx="5">
                  <c:v>76</c:v>
                </c:pt>
                <c:pt idx="6">
                  <c:v>89</c:v>
                </c:pt>
                <c:pt idx="7">
                  <c:v>93</c:v>
                </c:pt>
                <c:pt idx="8">
                  <c:v>98</c:v>
                </c:pt>
                <c:pt idx="9">
                  <c:v>101</c:v>
                </c:pt>
                <c:pt idx="10">
                  <c:v>122</c:v>
                </c:pt>
                <c:pt idx="11">
                  <c:v>138</c:v>
                </c:pt>
                <c:pt idx="12">
                  <c:v>142</c:v>
                </c:pt>
                <c:pt idx="13">
                  <c:v>150</c:v>
                </c:pt>
                <c:pt idx="14">
                  <c:v>151</c:v>
                </c:pt>
                <c:pt idx="15">
                  <c:v>166</c:v>
                </c:pt>
                <c:pt idx="16">
                  <c:v>175</c:v>
                </c:pt>
                <c:pt idx="17">
                  <c:v>186</c:v>
                </c:pt>
                <c:pt idx="18">
                  <c:v>194</c:v>
                </c:pt>
                <c:pt idx="19">
                  <c:v>240</c:v>
                </c:pt>
                <c:pt idx="20">
                  <c:v>248</c:v>
                </c:pt>
                <c:pt idx="21">
                  <c:v>282</c:v>
                </c:pt>
                <c:pt idx="22">
                  <c:v>359</c:v>
                </c:pt>
                <c:pt idx="23">
                  <c:v>364</c:v>
                </c:pt>
                <c:pt idx="24">
                  <c:v>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5-4D00-A09D-0401A1EB0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157440"/>
        <c:axId val="138183808"/>
      </c:barChart>
      <c:catAx>
        <c:axId val="138157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183808"/>
        <c:crosses val="autoZero"/>
        <c:auto val="1"/>
        <c:lblAlgn val="ctr"/>
        <c:lblOffset val="100"/>
        <c:noMultiLvlLbl val="0"/>
      </c:catAx>
      <c:valAx>
        <c:axId val="13818380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15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8594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41275</xdr:colOff>
      <xdr:row>1</xdr:row>
      <xdr:rowOff>81491</xdr:rowOff>
    </xdr:from>
    <xdr:to>
      <xdr:col>19</xdr:col>
      <xdr:colOff>116418</xdr:colOff>
      <xdr:row>16</xdr:row>
      <xdr:rowOff>146050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1024467</xdr:colOff>
      <xdr:row>2</xdr:row>
      <xdr:rowOff>49742</xdr:rowOff>
    </xdr:from>
    <xdr:to>
      <xdr:col>19</xdr:col>
      <xdr:colOff>135468</xdr:colOff>
      <xdr:row>19</xdr:row>
      <xdr:rowOff>85726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516A7468-C1FD-4298-8E7C-C0BD29F96BC7}"/>
            </a:ext>
          </a:extLst>
        </xdr:cNvPr>
        <xdr:cNvSpPr/>
      </xdr:nvSpPr>
      <xdr:spPr>
        <a:xfrm>
          <a:off x="2714624" y="314325"/>
          <a:ext cx="228601" cy="11430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1131623</xdr:colOff>
      <xdr:row>2</xdr:row>
      <xdr:rowOff>37835</xdr:rowOff>
    </xdr:from>
    <xdr:to>
      <xdr:col>19</xdr:col>
      <xdr:colOff>242624</xdr:colOff>
      <xdr:row>19</xdr:row>
      <xdr:rowOff>73819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EF57E43-C5FB-4B72-BA24-C746B8A7A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3" name="Schemat blokowy: scalani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28599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39689</xdr:colOff>
      <xdr:row>1</xdr:row>
      <xdr:rowOff>61384</xdr:rowOff>
    </xdr:from>
    <xdr:to>
      <xdr:col>18</xdr:col>
      <xdr:colOff>137584</xdr:colOff>
      <xdr:row>17</xdr:row>
      <xdr:rowOff>49743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342633</xdr:colOff>
      <xdr:row>2</xdr:row>
      <xdr:rowOff>1059</xdr:rowOff>
    </xdr:from>
    <xdr:to>
      <xdr:col>18</xdr:col>
      <xdr:colOff>474927</xdr:colOff>
      <xdr:row>18</xdr:row>
      <xdr:rowOff>166688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25400</xdr:colOff>
      <xdr:row>2</xdr:row>
      <xdr:rowOff>3175</xdr:rowOff>
    </xdr:from>
    <xdr:to>
      <xdr:col>18</xdr:col>
      <xdr:colOff>190501</xdr:colOff>
      <xdr:row>19</xdr:row>
      <xdr:rowOff>116417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296862</xdr:colOff>
      <xdr:row>1</xdr:row>
      <xdr:rowOff>134142</xdr:rowOff>
    </xdr:from>
    <xdr:to>
      <xdr:col>19</xdr:col>
      <xdr:colOff>202406</xdr:colOff>
      <xdr:row>18</xdr:row>
      <xdr:rowOff>166686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52917</xdr:colOff>
      <xdr:row>2</xdr:row>
      <xdr:rowOff>21167</xdr:rowOff>
    </xdr:from>
    <xdr:to>
      <xdr:col>18</xdr:col>
      <xdr:colOff>412749</xdr:colOff>
      <xdr:row>17</xdr:row>
      <xdr:rowOff>28576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107951</xdr:colOff>
      <xdr:row>1</xdr:row>
      <xdr:rowOff>20108</xdr:rowOff>
    </xdr:from>
    <xdr:to>
      <xdr:col>18</xdr:col>
      <xdr:colOff>296334</xdr:colOff>
      <xdr:row>16</xdr:row>
      <xdr:rowOff>45509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1016000</xdr:colOff>
      <xdr:row>1</xdr:row>
      <xdr:rowOff>184149</xdr:rowOff>
    </xdr:from>
    <xdr:to>
      <xdr:col>19</xdr:col>
      <xdr:colOff>168275</xdr:colOff>
      <xdr:row>18</xdr:row>
      <xdr:rowOff>29633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1045633</xdr:colOff>
      <xdr:row>1</xdr:row>
      <xdr:rowOff>223309</xdr:rowOff>
    </xdr:from>
    <xdr:to>
      <xdr:col>19</xdr:col>
      <xdr:colOff>15876</xdr:colOff>
      <xdr:row>19</xdr:row>
      <xdr:rowOff>21168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B1:G29"/>
  <sheetViews>
    <sheetView tabSelected="1"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5703125" style="3" customWidth="1"/>
    <col min="3" max="3" width="15.7109375" style="3" customWidth="1"/>
    <col min="4" max="4" width="15.28515625" style="3" customWidth="1"/>
    <col min="5" max="5" width="17.42578125" style="3" customWidth="1"/>
    <col min="6" max="6" width="15.28515625" style="3" customWidth="1"/>
    <col min="7" max="7" width="17.42578125" style="3" customWidth="1"/>
    <col min="8" max="8" width="6.28515625" style="3" customWidth="1"/>
    <col min="9" max="16384" width="9.140625" style="3"/>
  </cols>
  <sheetData>
    <row r="1" spans="2:7" ht="17.25" customHeight="1" x14ac:dyDescent="0.2">
      <c r="B1" s="1" t="s">
        <v>32</v>
      </c>
      <c r="C1" s="26"/>
      <c r="D1" s="26"/>
      <c r="E1" s="26"/>
      <c r="F1" s="26"/>
      <c r="G1" s="26"/>
    </row>
    <row r="2" spans="2:7" ht="57" x14ac:dyDescent="0.2">
      <c r="B2" s="5" t="s">
        <v>27</v>
      </c>
      <c r="C2" s="6" t="s">
        <v>111</v>
      </c>
      <c r="D2" s="7" t="s">
        <v>102</v>
      </c>
      <c r="E2" s="6" t="s">
        <v>77</v>
      </c>
      <c r="F2" s="7" t="s">
        <v>112</v>
      </c>
      <c r="G2" s="6" t="s">
        <v>26</v>
      </c>
    </row>
    <row r="3" spans="2:7" x14ac:dyDescent="0.2">
      <c r="B3" s="8" t="s">
        <v>0</v>
      </c>
      <c r="C3" s="10">
        <v>1168</v>
      </c>
      <c r="D3" s="9">
        <v>1175</v>
      </c>
      <c r="E3" s="10">
        <f>SUM(C3)-D3</f>
        <v>-7</v>
      </c>
      <c r="F3" s="9">
        <v>1190</v>
      </c>
      <c r="G3" s="10">
        <f>SUM(C3)-F3</f>
        <v>-22</v>
      </c>
    </row>
    <row r="4" spans="2:7" x14ac:dyDescent="0.2">
      <c r="B4" s="8" t="s">
        <v>1</v>
      </c>
      <c r="C4" s="10">
        <v>4127</v>
      </c>
      <c r="D4" s="9">
        <v>4136</v>
      </c>
      <c r="E4" s="10">
        <f t="shared" ref="E4:E27" si="0">SUM(C4)-D4</f>
        <v>-9</v>
      </c>
      <c r="F4" s="9">
        <v>4329</v>
      </c>
      <c r="G4" s="10">
        <f t="shared" ref="G4:G27" si="1">SUM(C4)-F4</f>
        <v>-202</v>
      </c>
    </row>
    <row r="5" spans="2:7" x14ac:dyDescent="0.2">
      <c r="B5" s="8" t="s">
        <v>2</v>
      </c>
      <c r="C5" s="10">
        <v>2632</v>
      </c>
      <c r="D5" s="9">
        <v>2606</v>
      </c>
      <c r="E5" s="10">
        <f t="shared" si="0"/>
        <v>26</v>
      </c>
      <c r="F5" s="9">
        <v>2782</v>
      </c>
      <c r="G5" s="10">
        <f t="shared" si="1"/>
        <v>-150</v>
      </c>
    </row>
    <row r="6" spans="2:7" x14ac:dyDescent="0.2">
      <c r="B6" s="8" t="s">
        <v>3</v>
      </c>
      <c r="C6" s="10">
        <v>4843</v>
      </c>
      <c r="D6" s="9">
        <v>4850</v>
      </c>
      <c r="E6" s="10">
        <f t="shared" si="0"/>
        <v>-7</v>
      </c>
      <c r="F6" s="9">
        <v>5513</v>
      </c>
      <c r="G6" s="10">
        <f t="shared" si="1"/>
        <v>-670</v>
      </c>
    </row>
    <row r="7" spans="2:7" x14ac:dyDescent="0.2">
      <c r="B7" s="8" t="s">
        <v>4</v>
      </c>
      <c r="C7" s="10">
        <v>5156</v>
      </c>
      <c r="D7" s="9">
        <v>5153</v>
      </c>
      <c r="E7" s="10">
        <f t="shared" si="0"/>
        <v>3</v>
      </c>
      <c r="F7" s="9">
        <v>5495</v>
      </c>
      <c r="G7" s="10">
        <f t="shared" si="1"/>
        <v>-339</v>
      </c>
    </row>
    <row r="8" spans="2:7" x14ac:dyDescent="0.2">
      <c r="B8" s="8" t="s">
        <v>5</v>
      </c>
      <c r="C8" s="10">
        <v>1710</v>
      </c>
      <c r="D8" s="9">
        <v>1678</v>
      </c>
      <c r="E8" s="10">
        <f t="shared" si="0"/>
        <v>32</v>
      </c>
      <c r="F8" s="9">
        <v>1845</v>
      </c>
      <c r="G8" s="10">
        <f t="shared" si="1"/>
        <v>-135</v>
      </c>
    </row>
    <row r="9" spans="2:7" x14ac:dyDescent="0.2">
      <c r="B9" s="13" t="s">
        <v>6</v>
      </c>
      <c r="C9" s="10">
        <v>2228</v>
      </c>
      <c r="D9" s="9">
        <v>2175</v>
      </c>
      <c r="E9" s="10">
        <f t="shared" si="0"/>
        <v>53</v>
      </c>
      <c r="F9" s="9">
        <v>2129</v>
      </c>
      <c r="G9" s="10">
        <f t="shared" si="1"/>
        <v>99</v>
      </c>
    </row>
    <row r="10" spans="2:7" x14ac:dyDescent="0.2">
      <c r="B10" s="8" t="s">
        <v>7</v>
      </c>
      <c r="C10" s="10">
        <v>1813</v>
      </c>
      <c r="D10" s="9">
        <v>1805</v>
      </c>
      <c r="E10" s="10">
        <f t="shared" si="0"/>
        <v>8</v>
      </c>
      <c r="F10" s="9">
        <v>1773</v>
      </c>
      <c r="G10" s="10">
        <f t="shared" si="1"/>
        <v>40</v>
      </c>
    </row>
    <row r="11" spans="2:7" x14ac:dyDescent="0.2">
      <c r="B11" s="8" t="s">
        <v>8</v>
      </c>
      <c r="C11" s="10">
        <v>3283</v>
      </c>
      <c r="D11" s="9">
        <v>3295</v>
      </c>
      <c r="E11" s="10">
        <f t="shared" si="0"/>
        <v>-12</v>
      </c>
      <c r="F11" s="9">
        <v>3708</v>
      </c>
      <c r="G11" s="10">
        <f t="shared" si="1"/>
        <v>-425</v>
      </c>
    </row>
    <row r="12" spans="2:7" x14ac:dyDescent="0.2">
      <c r="B12" s="8" t="s">
        <v>9</v>
      </c>
      <c r="C12" s="10">
        <v>1954</v>
      </c>
      <c r="D12" s="9">
        <v>1987</v>
      </c>
      <c r="E12" s="10">
        <f t="shared" si="0"/>
        <v>-33</v>
      </c>
      <c r="F12" s="9">
        <v>2087</v>
      </c>
      <c r="G12" s="10">
        <f t="shared" si="1"/>
        <v>-133</v>
      </c>
    </row>
    <row r="13" spans="2:7" x14ac:dyDescent="0.2">
      <c r="B13" s="8" t="s">
        <v>10</v>
      </c>
      <c r="C13" s="10">
        <v>2797</v>
      </c>
      <c r="D13" s="9">
        <v>2809</v>
      </c>
      <c r="E13" s="10">
        <f t="shared" si="0"/>
        <v>-12</v>
      </c>
      <c r="F13" s="9">
        <v>3383</v>
      </c>
      <c r="G13" s="10">
        <f t="shared" si="1"/>
        <v>-586</v>
      </c>
    </row>
    <row r="14" spans="2:7" x14ac:dyDescent="0.2">
      <c r="B14" s="8" t="s">
        <v>11</v>
      </c>
      <c r="C14" s="10">
        <v>2769</v>
      </c>
      <c r="D14" s="9">
        <v>2696</v>
      </c>
      <c r="E14" s="10">
        <f t="shared" si="0"/>
        <v>73</v>
      </c>
      <c r="F14" s="9">
        <v>2886</v>
      </c>
      <c r="G14" s="10">
        <f t="shared" si="1"/>
        <v>-117</v>
      </c>
    </row>
    <row r="15" spans="2:7" x14ac:dyDescent="0.2">
      <c r="B15" s="8" t="s">
        <v>12</v>
      </c>
      <c r="C15" s="10">
        <v>3248</v>
      </c>
      <c r="D15" s="9">
        <v>3307</v>
      </c>
      <c r="E15" s="10">
        <f t="shared" si="0"/>
        <v>-59</v>
      </c>
      <c r="F15" s="9">
        <v>3410</v>
      </c>
      <c r="G15" s="10">
        <f t="shared" si="1"/>
        <v>-162</v>
      </c>
    </row>
    <row r="16" spans="2:7" x14ac:dyDescent="0.2">
      <c r="B16" s="8" t="s">
        <v>13</v>
      </c>
      <c r="C16" s="10">
        <v>3149</v>
      </c>
      <c r="D16" s="9">
        <v>3218</v>
      </c>
      <c r="E16" s="10">
        <f t="shared" si="0"/>
        <v>-69</v>
      </c>
      <c r="F16" s="9">
        <v>3709</v>
      </c>
      <c r="G16" s="10">
        <f t="shared" si="1"/>
        <v>-560</v>
      </c>
    </row>
    <row r="17" spans="2:7" x14ac:dyDescent="0.2">
      <c r="B17" s="8" t="s">
        <v>14</v>
      </c>
      <c r="C17" s="10">
        <v>3596</v>
      </c>
      <c r="D17" s="9">
        <v>3707</v>
      </c>
      <c r="E17" s="10">
        <f t="shared" si="0"/>
        <v>-111</v>
      </c>
      <c r="F17" s="9">
        <v>3894</v>
      </c>
      <c r="G17" s="10">
        <f t="shared" si="1"/>
        <v>-298</v>
      </c>
    </row>
    <row r="18" spans="2:7" x14ac:dyDescent="0.2">
      <c r="B18" s="8" t="s">
        <v>15</v>
      </c>
      <c r="C18" s="10">
        <v>2836</v>
      </c>
      <c r="D18" s="9">
        <v>2858</v>
      </c>
      <c r="E18" s="10">
        <f t="shared" si="0"/>
        <v>-22</v>
      </c>
      <c r="F18" s="9">
        <v>3274</v>
      </c>
      <c r="G18" s="10">
        <f t="shared" si="1"/>
        <v>-438</v>
      </c>
    </row>
    <row r="19" spans="2:7" x14ac:dyDescent="0.2">
      <c r="B19" s="8" t="s">
        <v>16</v>
      </c>
      <c r="C19" s="10">
        <v>5092</v>
      </c>
      <c r="D19" s="9">
        <v>5063</v>
      </c>
      <c r="E19" s="10">
        <f t="shared" si="0"/>
        <v>29</v>
      </c>
      <c r="F19" s="9">
        <v>5648</v>
      </c>
      <c r="G19" s="10">
        <f t="shared" si="1"/>
        <v>-556</v>
      </c>
    </row>
    <row r="20" spans="2:7" x14ac:dyDescent="0.2">
      <c r="B20" s="8" t="s">
        <v>17</v>
      </c>
      <c r="C20" s="10">
        <v>2840</v>
      </c>
      <c r="D20" s="9">
        <v>2809</v>
      </c>
      <c r="E20" s="10">
        <f t="shared" si="0"/>
        <v>31</v>
      </c>
      <c r="F20" s="9">
        <v>2633</v>
      </c>
      <c r="G20" s="10">
        <f t="shared" si="1"/>
        <v>207</v>
      </c>
    </row>
    <row r="21" spans="2:7" x14ac:dyDescent="0.2">
      <c r="B21" s="8" t="s">
        <v>18</v>
      </c>
      <c r="C21" s="10">
        <v>2013</v>
      </c>
      <c r="D21" s="9">
        <v>2039</v>
      </c>
      <c r="E21" s="10">
        <f t="shared" si="0"/>
        <v>-26</v>
      </c>
      <c r="F21" s="9">
        <v>2341</v>
      </c>
      <c r="G21" s="10">
        <f t="shared" si="1"/>
        <v>-328</v>
      </c>
    </row>
    <row r="22" spans="2:7" x14ac:dyDescent="0.2">
      <c r="B22" s="8" t="s">
        <v>19</v>
      </c>
      <c r="C22" s="10">
        <v>3417</v>
      </c>
      <c r="D22" s="9">
        <v>3465</v>
      </c>
      <c r="E22" s="10">
        <f t="shared" si="0"/>
        <v>-48</v>
      </c>
      <c r="F22" s="9">
        <v>3666</v>
      </c>
      <c r="G22" s="10">
        <f t="shared" si="1"/>
        <v>-249</v>
      </c>
    </row>
    <row r="23" spans="2:7" x14ac:dyDescent="0.2">
      <c r="B23" s="8" t="s">
        <v>20</v>
      </c>
      <c r="C23" s="10">
        <v>1376</v>
      </c>
      <c r="D23" s="9">
        <v>1364</v>
      </c>
      <c r="E23" s="10">
        <f t="shared" si="0"/>
        <v>12</v>
      </c>
      <c r="F23" s="9">
        <v>1689</v>
      </c>
      <c r="G23" s="10">
        <f t="shared" si="1"/>
        <v>-313</v>
      </c>
    </row>
    <row r="24" spans="2:7" x14ac:dyDescent="0.2">
      <c r="B24" s="8" t="s">
        <v>21</v>
      </c>
      <c r="C24" s="10">
        <v>802</v>
      </c>
      <c r="D24" s="9">
        <v>786</v>
      </c>
      <c r="E24" s="10">
        <f t="shared" si="0"/>
        <v>16</v>
      </c>
      <c r="F24" s="9">
        <v>775</v>
      </c>
      <c r="G24" s="10">
        <f t="shared" si="1"/>
        <v>27</v>
      </c>
    </row>
    <row r="25" spans="2:7" x14ac:dyDescent="0.2">
      <c r="B25" s="8" t="s">
        <v>22</v>
      </c>
      <c r="C25" s="10">
        <v>2556</v>
      </c>
      <c r="D25" s="9">
        <v>2597</v>
      </c>
      <c r="E25" s="10">
        <f t="shared" si="0"/>
        <v>-41</v>
      </c>
      <c r="F25" s="9">
        <v>2970</v>
      </c>
      <c r="G25" s="10">
        <f t="shared" si="1"/>
        <v>-414</v>
      </c>
    </row>
    <row r="26" spans="2:7" x14ac:dyDescent="0.2">
      <c r="B26" s="8" t="s">
        <v>23</v>
      </c>
      <c r="C26" s="10">
        <v>5508</v>
      </c>
      <c r="D26" s="9">
        <v>5550</v>
      </c>
      <c r="E26" s="10">
        <f t="shared" si="0"/>
        <v>-42</v>
      </c>
      <c r="F26" s="9">
        <v>6300</v>
      </c>
      <c r="G26" s="10">
        <f t="shared" si="1"/>
        <v>-792</v>
      </c>
    </row>
    <row r="27" spans="2:7" x14ac:dyDescent="0.2">
      <c r="B27" s="8" t="s">
        <v>24</v>
      </c>
      <c r="C27" s="10">
        <v>1155</v>
      </c>
      <c r="D27" s="9">
        <v>1146</v>
      </c>
      <c r="E27" s="10">
        <f t="shared" si="0"/>
        <v>9</v>
      </c>
      <c r="F27" s="9">
        <v>1429</v>
      </c>
      <c r="G27" s="10">
        <f t="shared" si="1"/>
        <v>-274</v>
      </c>
    </row>
    <row r="28" spans="2:7" ht="15" x14ac:dyDescent="0.25">
      <c r="B28" s="27" t="s">
        <v>25</v>
      </c>
      <c r="C28" s="28">
        <f>SUM(C3:C27)</f>
        <v>72068</v>
      </c>
      <c r="D28" s="29">
        <f>SUM(D3:D27)</f>
        <v>72274</v>
      </c>
      <c r="E28" s="28">
        <f>SUM(C28)-D28</f>
        <v>-206</v>
      </c>
      <c r="F28" s="29">
        <f>SUM(F3:F27)</f>
        <v>78858</v>
      </c>
      <c r="G28" s="28">
        <f>SUM(C28)-F28</f>
        <v>-6790</v>
      </c>
    </row>
    <row r="29" spans="2:7" x14ac:dyDescent="0.2">
      <c r="E29" s="30"/>
      <c r="F29" s="30">
        <f>SUM(F3:F27)</f>
        <v>78858</v>
      </c>
      <c r="G29" s="30"/>
    </row>
  </sheetData>
  <printOptions horizontalCentered="1" verticalCentered="1"/>
  <pageMargins left="0" right="0" top="0.31496062992125984" bottom="0.31496062992125984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-0.249977111117893"/>
  </sheetPr>
  <dimension ref="A1:H25"/>
  <sheetViews>
    <sheetView zoomScale="80" zoomScaleNormal="80" workbookViewId="0">
      <selection activeCell="B1" sqref="B1"/>
    </sheetView>
  </sheetViews>
  <sheetFormatPr defaultRowHeight="14.25" x14ac:dyDescent="0.2"/>
  <cols>
    <col min="1" max="1" width="3.42578125" style="3" customWidth="1"/>
    <col min="2" max="2" width="6.7109375" style="3" customWidth="1"/>
    <col min="3" max="3" width="23.5703125" style="3" customWidth="1"/>
    <col min="4" max="5" width="14.85546875" style="3" customWidth="1"/>
    <col min="6" max="6" width="17" style="3" customWidth="1"/>
    <col min="7" max="7" width="15.140625" style="3" customWidth="1"/>
    <col min="8" max="8" width="17.7109375" style="3" customWidth="1"/>
    <col min="9" max="9" width="5.140625" style="3" customWidth="1"/>
    <col min="10" max="18" width="9.140625" style="3"/>
    <col min="19" max="19" width="6.140625" style="3" customWidth="1"/>
    <col min="20" max="20" width="3.140625" style="3" customWidth="1"/>
    <col min="21" max="16384" width="9.140625" style="3"/>
  </cols>
  <sheetData>
    <row r="1" spans="1:8" x14ac:dyDescent="0.2">
      <c r="B1" s="2" t="s">
        <v>31</v>
      </c>
    </row>
    <row r="2" spans="1:8" ht="15" x14ac:dyDescent="0.2">
      <c r="C2" s="31"/>
      <c r="D2" s="32"/>
    </row>
    <row r="3" spans="1:8" ht="57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28 II '23 r.</v>
      </c>
      <c r="E3" s="5" t="str">
        <f>T('2_kob.'!D2)</f>
        <v>liczba bezrobotnych kobiet stan na 31 I '23 r.</v>
      </c>
      <c r="F3" s="5" t="str">
        <f>T('2_kob.'!E2)</f>
        <v>wzrost/spadek do poprzedniego  miesiąca</v>
      </c>
      <c r="G3" s="5" t="str">
        <f>T('2_kob.'!F2)</f>
        <v>liczba bezrobotnych kobiet stan na 28 II '22 r.</v>
      </c>
      <c r="H3" s="5" t="str">
        <f>T('2_kob.'!G2)</f>
        <v>wzrost/spadek do analogicznego okresu ubr.</v>
      </c>
    </row>
    <row r="4" spans="1:8" x14ac:dyDescent="0.2">
      <c r="A4" s="3">
        <v>1</v>
      </c>
      <c r="B4" s="10">
        <f>RANK('5_bezr. na wsi'!C3,'5_bezr. na wsi'!$C$3:'5_bezr. na wsi'!$C$28,1)+COUNTIF('5_bezr. na wsi'!$C$3:'5_bezr. na wsi'!C3,'5_bezr. na wsi'!C3)-1</f>
        <v>1</v>
      </c>
      <c r="C4" s="8" t="str">
        <f>INDEX('5_bezr. na wsi'!B3:G28,MATCH(1,B4:B25,0),1)</f>
        <v>bieszczadzki</v>
      </c>
      <c r="D4" s="39">
        <f>INDEX('5_bezr. na wsi'!B3:G28,MATCH(1,B4:B25,0),2)</f>
        <v>751</v>
      </c>
      <c r="E4" s="9">
        <f>INDEX('5_bezr. na wsi'!B3:G28,MATCH(1,B4:B25,0),3)</f>
        <v>755</v>
      </c>
      <c r="F4" s="10">
        <f>INDEX('5_bezr. na wsi'!B3:G28,MATCH(1,B4:B25,0),4)</f>
        <v>-4</v>
      </c>
      <c r="G4" s="9">
        <f>INDEX('5_bezr. na wsi'!B3:G28,MATCH(1,B4:B25,0),5)</f>
        <v>785</v>
      </c>
      <c r="H4" s="10">
        <f>INDEX('5_bezr. na wsi'!B3:G28,MATCH(1,B4:B25,0),6)</f>
        <v>-34</v>
      </c>
    </row>
    <row r="5" spans="1:8" x14ac:dyDescent="0.2">
      <c r="A5" s="3">
        <v>2</v>
      </c>
      <c r="B5" s="10">
        <f>RANK('5_bezr. na wsi'!C4,'5_bezr. na wsi'!$C$3:'5_bezr. na wsi'!$C$28,1)+COUNTIF('5_bezr. na wsi'!$C$3:'5_bezr. na wsi'!C4,'5_bezr. na wsi'!C4)-1</f>
        <v>20</v>
      </c>
      <c r="C5" s="8" t="str">
        <f>INDEX('5_bezr. na wsi'!B3:G28,MATCH(2,B4:B25,0),1)</f>
        <v>stalowowolski</v>
      </c>
      <c r="D5" s="10">
        <f>INDEX('5_bezr. na wsi'!B3:G28,MATCH(2,B4:B25,0),2)</f>
        <v>840</v>
      </c>
      <c r="E5" s="9">
        <f>INDEX('5_bezr. na wsi'!B3:G28,MATCH(2,B4:B25,0),3)</f>
        <v>847</v>
      </c>
      <c r="F5" s="10">
        <f>INDEX('5_bezr. na wsi'!B3:G28,MATCH(2,B4:B25,0),4)</f>
        <v>-7</v>
      </c>
      <c r="G5" s="9">
        <f>INDEX('5_bezr. na wsi'!B3:G28,MATCH(2,B4:B25,0),5)</f>
        <v>970</v>
      </c>
      <c r="H5" s="10">
        <f>INDEX('5_bezr. na wsi'!B3:G28,MATCH(2,B4:B25,0),6)</f>
        <v>-130</v>
      </c>
    </row>
    <row r="6" spans="1:8" x14ac:dyDescent="0.2">
      <c r="A6" s="3">
        <v>3</v>
      </c>
      <c r="B6" s="10">
        <f>RANK('5_bezr. na wsi'!C5,'5_bezr. na wsi'!$C$3:'5_bezr. na wsi'!$C$28,1)+COUNTIF('5_bezr. na wsi'!$C$3:'5_bezr. na wsi'!C5,'5_bezr. na wsi'!C5)-1</f>
        <v>8</v>
      </c>
      <c r="C6" s="8" t="str">
        <f>INDEX('5_bezr. na wsi'!B3:G28,MATCH(3,B4:B25,0),1)</f>
        <v xml:space="preserve">tarnobrzeski </v>
      </c>
      <c r="D6" s="10">
        <f>INDEX('5_bezr. na wsi'!B3:G28,MATCH(3,B4:B25,0),2)</f>
        <v>1119</v>
      </c>
      <c r="E6" s="9">
        <f>INDEX('5_bezr. na wsi'!B3:G28,MATCH(3,B4:B25,0),3)</f>
        <v>1118</v>
      </c>
      <c r="F6" s="10">
        <f>INDEX('5_bezr. na wsi'!B3:G28,MATCH(3,B4:B25,0),4)</f>
        <v>1</v>
      </c>
      <c r="G6" s="9">
        <f>INDEX('5_bezr. na wsi'!B3:G28,MATCH(3,B4:B25,0),5)</f>
        <v>1371</v>
      </c>
      <c r="H6" s="10">
        <f>INDEX('5_bezr. na wsi'!B3:G28,MATCH(3,B4:B25,0),6)</f>
        <v>-252</v>
      </c>
    </row>
    <row r="7" spans="1:8" x14ac:dyDescent="0.2">
      <c r="A7" s="3">
        <v>4</v>
      </c>
      <c r="B7" s="10">
        <f>RANK('5_bezr. na wsi'!C6,'5_bezr. na wsi'!$C$3:'5_bezr. na wsi'!$C$28,1)+COUNTIF('5_bezr. na wsi'!$C$3:'5_bezr. na wsi'!C6,'5_bezr. na wsi'!C6)-1</f>
        <v>16</v>
      </c>
      <c r="C7" s="8" t="str">
        <f>INDEX('5_bezr. na wsi'!B3:G28,MATCH(4,B4:B25,0),1)</f>
        <v>lubaczowski</v>
      </c>
      <c r="D7" s="10">
        <f>INDEX('5_bezr. na wsi'!B3:G28,MATCH(4,B4:B25,0),2)</f>
        <v>1308</v>
      </c>
      <c r="E7" s="9">
        <f>INDEX('5_bezr. na wsi'!B3:G28,MATCH(4,B4:B25,0),3)</f>
        <v>1341</v>
      </c>
      <c r="F7" s="10">
        <f>INDEX('5_bezr. na wsi'!B3:G28,MATCH(4,B4:B25,0),4)</f>
        <v>-33</v>
      </c>
      <c r="G7" s="9">
        <f>INDEX('5_bezr. na wsi'!B3:G28,MATCH(4,B4:B25,0),5)</f>
        <v>1387</v>
      </c>
      <c r="H7" s="10">
        <f>INDEX('5_bezr. na wsi'!B3:G28,MATCH(4,B4:B25,0),6)</f>
        <v>-79</v>
      </c>
    </row>
    <row r="8" spans="1:8" x14ac:dyDescent="0.2">
      <c r="A8" s="3">
        <v>5</v>
      </c>
      <c r="B8" s="10">
        <f>RANK('5_bezr. na wsi'!C7,'5_bezr. na wsi'!$C$3:'5_bezr. na wsi'!$C$28,1)+COUNTIF('5_bezr. na wsi'!$C$3:'5_bezr. na wsi'!C7,'5_bezr. na wsi'!C7)-1</f>
        <v>19</v>
      </c>
      <c r="C8" s="8" t="str">
        <f>INDEX('5_bezr. na wsi'!B3:G28,MATCH(5,B4:B25,0),1)</f>
        <v>mielecki</v>
      </c>
      <c r="D8" s="10">
        <f>INDEX('5_bezr. na wsi'!B3:G28,MATCH(5,B4:B25,0),2)</f>
        <v>1403</v>
      </c>
      <c r="E8" s="9">
        <f>INDEX('5_bezr. na wsi'!B3:G28,MATCH(5,B4:B25,0),3)</f>
        <v>1373</v>
      </c>
      <c r="F8" s="10">
        <f>INDEX('5_bezr. na wsi'!B3:G28,MATCH(5,B4:B25,0),4)</f>
        <v>30</v>
      </c>
      <c r="G8" s="9">
        <f>INDEX('5_bezr. na wsi'!B3:G28,MATCH(5,B4:B25,0),5)</f>
        <v>1444</v>
      </c>
      <c r="H8" s="10">
        <f>INDEX('5_bezr. na wsi'!B3:G28,MATCH(5,B4:B25,0),6)</f>
        <v>-41</v>
      </c>
    </row>
    <row r="9" spans="1:8" x14ac:dyDescent="0.2">
      <c r="A9" s="3">
        <v>6</v>
      </c>
      <c r="B9" s="10">
        <f>RANK('5_bezr. na wsi'!C8,'5_bezr. na wsi'!$C$3:'5_bezr. na wsi'!$C$28,1)+COUNTIF('5_bezr. na wsi'!$C$3:'5_bezr. na wsi'!C8,'5_bezr. na wsi'!C8)-1</f>
        <v>7</v>
      </c>
      <c r="C9" s="8" t="str">
        <f>INDEX('5_bezr. na wsi'!B3:G28,MATCH(6,B4:B25,0),1)</f>
        <v>leski</v>
      </c>
      <c r="D9" s="10">
        <f>INDEX('5_bezr. na wsi'!B3:G28,MATCH(6,B4:B25,0),2)</f>
        <v>1493</v>
      </c>
      <c r="E9" s="9">
        <f>INDEX('5_bezr. na wsi'!B3:G28,MATCH(6,B4:B25,0),3)</f>
        <v>1493</v>
      </c>
      <c r="F9" s="10">
        <f>INDEX('5_bezr. na wsi'!B3:G28,MATCH(6,B4:B25,0),4)</f>
        <v>0</v>
      </c>
      <c r="G9" s="9">
        <f>INDEX('5_bezr. na wsi'!B3:G28,MATCH(6,B4:B25,0),5)</f>
        <v>1469</v>
      </c>
      <c r="H9" s="10">
        <f>INDEX('5_bezr. na wsi'!B3:G28,MATCH(6,B4:B25,0),6)</f>
        <v>24</v>
      </c>
    </row>
    <row r="10" spans="1:8" x14ac:dyDescent="0.2">
      <c r="A10" s="3">
        <v>7</v>
      </c>
      <c r="B10" s="10">
        <f>RANK('5_bezr. na wsi'!C9,'5_bezr. na wsi'!$C$3:'5_bezr. na wsi'!$C$28,1)+COUNTIF('5_bezr. na wsi'!$C$3:'5_bezr. na wsi'!C9,'5_bezr. na wsi'!C9)-1</f>
        <v>11</v>
      </c>
      <c r="C10" s="13" t="str">
        <f>INDEX('5_bezr. na wsi'!B3:G28,MATCH(7,B4:B25,0),1)</f>
        <v>kolbuszowski</v>
      </c>
      <c r="D10" s="10">
        <f>INDEX('5_bezr. na wsi'!B3:G28,MATCH(7,B4:B25,0),2)</f>
        <v>1504</v>
      </c>
      <c r="E10" s="9">
        <f>INDEX('5_bezr. na wsi'!B3:G28,MATCH(7,B4:B25,0),3)</f>
        <v>1473</v>
      </c>
      <c r="F10" s="10">
        <f>INDEX('5_bezr. na wsi'!B3:G28,MATCH(7,B4:B25,0),4)</f>
        <v>31</v>
      </c>
      <c r="G10" s="9">
        <f>INDEX('5_bezr. na wsi'!B3:G28,MATCH(7,B4:B25,0),5)</f>
        <v>1608</v>
      </c>
      <c r="H10" s="10">
        <f>INDEX('5_bezr. na wsi'!B3:G28,MATCH(7,B4:B25,0),6)</f>
        <v>-104</v>
      </c>
    </row>
    <row r="11" spans="1:8" x14ac:dyDescent="0.2">
      <c r="A11" s="3">
        <v>8</v>
      </c>
      <c r="B11" s="10">
        <f>RANK('5_bezr. na wsi'!C10,'5_bezr. na wsi'!$C$3:'5_bezr. na wsi'!$C$28,1)+COUNTIF('5_bezr. na wsi'!$C$3:'5_bezr. na wsi'!C10,'5_bezr. na wsi'!C10)-1</f>
        <v>6</v>
      </c>
      <c r="C11" s="8" t="str">
        <f>INDEX('5_bezr. na wsi'!B3:G28,MATCH(8,B4:B25,0),1)</f>
        <v>dębicki</v>
      </c>
      <c r="D11" s="10">
        <f>INDEX('5_bezr. na wsi'!B3:G28,MATCH(8,B4:B25,0),2)</f>
        <v>1599</v>
      </c>
      <c r="E11" s="9">
        <f>INDEX('5_bezr. na wsi'!B3:G28,MATCH(8,B4:B25,0),3)</f>
        <v>1590</v>
      </c>
      <c r="F11" s="10">
        <f>INDEX('5_bezr. na wsi'!B3:G28,MATCH(8,B4:B25,0),4)</f>
        <v>9</v>
      </c>
      <c r="G11" s="9">
        <f>INDEX('5_bezr. na wsi'!B3:G28,MATCH(8,B4:B25,0),5)</f>
        <v>1635</v>
      </c>
      <c r="H11" s="10">
        <f>INDEX('5_bezr. na wsi'!B3:G28,MATCH(8,B4:B25,0),6)</f>
        <v>-36</v>
      </c>
    </row>
    <row r="12" spans="1:8" x14ac:dyDescent="0.2">
      <c r="A12" s="3">
        <v>9</v>
      </c>
      <c r="B12" s="10">
        <f>RANK('5_bezr. na wsi'!C11,'5_bezr. na wsi'!$C$3:'5_bezr. na wsi'!$C$28,1)+COUNTIF('5_bezr. na wsi'!$C$3:'5_bezr. na wsi'!C11,'5_bezr. na wsi'!C11)-1</f>
        <v>14</v>
      </c>
      <c r="C12" s="8" t="str">
        <f>INDEX('5_bezr. na wsi'!B3:G28,MATCH(9,B4:B25,0),1)</f>
        <v>sanocki</v>
      </c>
      <c r="D12" s="10">
        <f>INDEX('5_bezr. na wsi'!B3:G28,MATCH(9,B4:B25,0),2)</f>
        <v>1635</v>
      </c>
      <c r="E12" s="9">
        <f>INDEX('5_bezr. na wsi'!B3:G28,MATCH(9,B4:B25,0),3)</f>
        <v>1633</v>
      </c>
      <c r="F12" s="10">
        <f>INDEX('5_bezr. na wsi'!B3:G28,MATCH(9,B4:B25,0),4)</f>
        <v>2</v>
      </c>
      <c r="G12" s="9">
        <f>INDEX('5_bezr. na wsi'!B3:G28,MATCH(9,B4:B25,0),5)</f>
        <v>1496</v>
      </c>
      <c r="H12" s="10">
        <f>INDEX('5_bezr. na wsi'!B3:G28,MATCH(9,B4:B25,0),6)</f>
        <v>139</v>
      </c>
    </row>
    <row r="13" spans="1:8" x14ac:dyDescent="0.2">
      <c r="A13" s="3">
        <v>10</v>
      </c>
      <c r="B13" s="10">
        <f>RANK('5_bezr. na wsi'!C12,'5_bezr. na wsi'!$C$3:'5_bezr. na wsi'!$C$28,1)+COUNTIF('5_bezr. na wsi'!$C$3:'5_bezr. na wsi'!C12,'5_bezr. na wsi'!C12)-1</f>
        <v>4</v>
      </c>
      <c r="C13" s="8" t="str">
        <f>INDEX('5_bezr. na wsi'!B3:G28,MATCH(10,B4:B25,0),1)</f>
        <v>ropczycko-sędziszowski</v>
      </c>
      <c r="D13" s="10">
        <f>INDEX('5_bezr. na wsi'!B3:G28,MATCH(10,B4:B25,0),2)</f>
        <v>1849</v>
      </c>
      <c r="E13" s="9">
        <f>INDEX('5_bezr. na wsi'!B3:G28,MATCH(10,B4:B25,0),3)</f>
        <v>1875</v>
      </c>
      <c r="F13" s="10">
        <f>INDEX('5_bezr. na wsi'!B3:G28,MATCH(10,B4:B25,0),4)</f>
        <v>-26</v>
      </c>
      <c r="G13" s="9">
        <f>INDEX('5_bezr. na wsi'!B3:G28,MATCH(10,B4:B25,0),5)</f>
        <v>2130</v>
      </c>
      <c r="H13" s="10">
        <f>INDEX('5_bezr. na wsi'!B3:G28,MATCH(10,B4:B25,0),6)</f>
        <v>-281</v>
      </c>
    </row>
    <row r="14" spans="1:8" x14ac:dyDescent="0.2">
      <c r="A14" s="3">
        <v>11</v>
      </c>
      <c r="B14" s="10">
        <f>RANK('5_bezr. na wsi'!C13,'5_bezr. na wsi'!$C$3:'5_bezr. na wsi'!$C$28,1)+COUNTIF('5_bezr. na wsi'!$C$3:'5_bezr. na wsi'!C13,'5_bezr. na wsi'!C13)-1</f>
        <v>13</v>
      </c>
      <c r="C14" s="8" t="str">
        <f>INDEX('5_bezr. na wsi'!B3:G28,MATCH(11,B4:B25,0),1)</f>
        <v>krośnieński</v>
      </c>
      <c r="D14" s="10">
        <f>INDEX('5_bezr. na wsi'!B3:G28,MATCH(11,B4:B25,0),2)</f>
        <v>2017</v>
      </c>
      <c r="E14" s="9">
        <f>INDEX('5_bezr. na wsi'!B3:G28,MATCH(11,B4:B25,0),3)</f>
        <v>1957</v>
      </c>
      <c r="F14" s="10">
        <f>INDEX('5_bezr. na wsi'!B3:G28,MATCH(11,B4:B25,0),4)</f>
        <v>60</v>
      </c>
      <c r="G14" s="9">
        <f>INDEX('5_bezr. na wsi'!B3:G28,MATCH(11,B4:B25,0),5)</f>
        <v>1911</v>
      </c>
      <c r="H14" s="10">
        <f>INDEX('5_bezr. na wsi'!B3:G28,MATCH(11,B4:B25,0),6)</f>
        <v>106</v>
      </c>
    </row>
    <row r="15" spans="1:8" x14ac:dyDescent="0.2">
      <c r="A15" s="3">
        <v>12</v>
      </c>
      <c r="B15" s="10">
        <f>RANK('5_bezr. na wsi'!C14,'5_bezr. na wsi'!$C$3:'5_bezr. na wsi'!$C$28,1)+COUNTIF('5_bezr. na wsi'!$C$3:'5_bezr. na wsi'!C14,'5_bezr. na wsi'!C14)-1</f>
        <v>5</v>
      </c>
      <c r="C15" s="8" t="str">
        <f>INDEX('5_bezr. na wsi'!B3:G28,MATCH(12,B4:B25,0),1)</f>
        <v>niżański</v>
      </c>
      <c r="D15" s="10">
        <f>INDEX('5_bezr. na wsi'!B3:G28,MATCH(12,B4:B25,0),2)</f>
        <v>2120</v>
      </c>
      <c r="E15" s="9">
        <f>INDEX('5_bezr. na wsi'!B3:G28,MATCH(12,B4:B25,0),3)</f>
        <v>2171</v>
      </c>
      <c r="F15" s="10">
        <f>INDEX('5_bezr. na wsi'!B3:G28,MATCH(12,B4:B25,0),4)</f>
        <v>-51</v>
      </c>
      <c r="G15" s="9">
        <f>INDEX('5_bezr. na wsi'!B3:G28,MATCH(12,B4:B25,0),5)</f>
        <v>2221</v>
      </c>
      <c r="H15" s="10">
        <f>INDEX('5_bezr. na wsi'!B3:G28,MATCH(12,B4:B25,0),6)</f>
        <v>-101</v>
      </c>
    </row>
    <row r="16" spans="1:8" x14ac:dyDescent="0.2">
      <c r="A16" s="3">
        <v>13</v>
      </c>
      <c r="B16" s="10">
        <f>RANK('5_bezr. na wsi'!C15,'5_bezr. na wsi'!$C$3:'5_bezr. na wsi'!$C$28,1)+COUNTIF('5_bezr. na wsi'!$C$3:'5_bezr. na wsi'!C15,'5_bezr. na wsi'!C15)-1</f>
        <v>12</v>
      </c>
      <c r="C16" s="8" t="str">
        <f>INDEX('5_bezr. na wsi'!B3:G28,MATCH(13,B4:B25,0),1)</f>
        <v>łańcucki</v>
      </c>
      <c r="D16" s="10">
        <f>INDEX('5_bezr. na wsi'!B3:G28,MATCH(13,B4:B25,0),2)</f>
        <v>2199</v>
      </c>
      <c r="E16" s="9">
        <f>INDEX('5_bezr. na wsi'!B3:G28,MATCH(13,B4:B25,0),3)</f>
        <v>2207</v>
      </c>
      <c r="F16" s="10">
        <f>INDEX('5_bezr. na wsi'!B3:G28,MATCH(13,B4:B25,0),4)</f>
        <v>-8</v>
      </c>
      <c r="G16" s="9">
        <f>INDEX('5_bezr. na wsi'!B3:G28,MATCH(13,B4:B25,0),5)</f>
        <v>2720</v>
      </c>
      <c r="H16" s="10">
        <f>INDEX('5_bezr. na wsi'!B3:G28,MATCH(13,B4:B25,0),6)</f>
        <v>-521</v>
      </c>
    </row>
    <row r="17" spans="1:8" x14ac:dyDescent="0.2">
      <c r="A17" s="3">
        <v>14</v>
      </c>
      <c r="B17" s="10">
        <f>RANK('5_bezr. na wsi'!C16,'5_bezr. na wsi'!$C$3:'5_bezr. na wsi'!$C$28,1)+COUNTIF('5_bezr. na wsi'!$C$3:'5_bezr. na wsi'!C16,'5_bezr. na wsi'!C16)-1</f>
        <v>18</v>
      </c>
      <c r="C17" s="8" t="str">
        <f>INDEX('5_bezr. na wsi'!B3:G28,MATCH(14,B4:B25,0),1)</f>
        <v>leżajski</v>
      </c>
      <c r="D17" s="10">
        <f>INDEX('5_bezr. na wsi'!B3:G28,MATCH(14,B4:B25,0),2)</f>
        <v>2524</v>
      </c>
      <c r="E17" s="9">
        <f>INDEX('5_bezr. na wsi'!B3:G28,MATCH(14,B4:B25,0),3)</f>
        <v>2514</v>
      </c>
      <c r="F17" s="10">
        <f>INDEX('5_bezr. na wsi'!B3:G28,MATCH(14,B4:B25,0),4)</f>
        <v>10</v>
      </c>
      <c r="G17" s="9">
        <f>INDEX('5_bezr. na wsi'!B3:G28,MATCH(14,B4:B25,0),5)</f>
        <v>2841</v>
      </c>
      <c r="H17" s="10">
        <f>INDEX('5_bezr. na wsi'!B3:G28,MATCH(14,B4:B25,0),6)</f>
        <v>-317</v>
      </c>
    </row>
    <row r="18" spans="1:8" x14ac:dyDescent="0.2">
      <c r="A18" s="3">
        <v>15</v>
      </c>
      <c r="B18" s="10">
        <f>RANK('5_bezr. na wsi'!C17,'5_bezr. na wsi'!$C$3:'5_bezr. na wsi'!$C$28,1)+COUNTIF('5_bezr. na wsi'!$C$3:'5_bezr. na wsi'!C17,'5_bezr. na wsi'!C17)-1</f>
        <v>15</v>
      </c>
      <c r="C18" s="8" t="str">
        <f>INDEX('5_bezr. na wsi'!B3:G28,MATCH(15,B4:B25,0),1)</f>
        <v>przeworski</v>
      </c>
      <c r="D18" s="10">
        <f>INDEX('5_bezr. na wsi'!B3:G28,MATCH(15,B4:B25,0),2)</f>
        <v>2746</v>
      </c>
      <c r="E18" s="9">
        <f>INDEX('5_bezr. na wsi'!B3:G28,MATCH(15,B4:B25,0),3)</f>
        <v>2828</v>
      </c>
      <c r="F18" s="10">
        <f>INDEX('5_bezr. na wsi'!B3:G28,MATCH(15,B4:B25,0),4)</f>
        <v>-82</v>
      </c>
      <c r="G18" s="9">
        <f>INDEX('5_bezr. na wsi'!B3:G28,MATCH(15,B4:B25,0),5)</f>
        <v>2935</v>
      </c>
      <c r="H18" s="10">
        <f>INDEX('5_bezr. na wsi'!B3:G28,MATCH(15,B4:B25,0),6)</f>
        <v>-189</v>
      </c>
    </row>
    <row r="19" spans="1:8" x14ac:dyDescent="0.2">
      <c r="A19" s="3">
        <v>16</v>
      </c>
      <c r="B19" s="10">
        <f>RANK('5_bezr. na wsi'!C18,'5_bezr. na wsi'!$C$3:'5_bezr. na wsi'!$C$28,1)+COUNTIF('5_bezr. na wsi'!$C$3:'5_bezr. na wsi'!C18,'5_bezr. na wsi'!C18)-1</f>
        <v>10</v>
      </c>
      <c r="C19" s="8" t="str">
        <f>INDEX('5_bezr. na wsi'!B3:G28,MATCH(16,B4:B25,0),1)</f>
        <v>jarosławski</v>
      </c>
      <c r="D19" s="10">
        <f>INDEX('5_bezr. na wsi'!B3:G28,MATCH(16,B4:B25,0),2)</f>
        <v>3038</v>
      </c>
      <c r="E19" s="9">
        <f>INDEX('5_bezr. na wsi'!B3:G28,MATCH(16,B4:B25,0),3)</f>
        <v>3038</v>
      </c>
      <c r="F19" s="10">
        <f>INDEX('5_bezr. na wsi'!B3:G28,MATCH(16,B4:B25,0),4)</f>
        <v>0</v>
      </c>
      <c r="G19" s="9">
        <f>INDEX('5_bezr. na wsi'!B3:G28,MATCH(16,B4:B25,0),5)</f>
        <v>3482</v>
      </c>
      <c r="H19" s="10">
        <f>INDEX('5_bezr. na wsi'!B3:G28,MATCH(16,B4:B25,0),6)</f>
        <v>-444</v>
      </c>
    </row>
    <row r="20" spans="1:8" x14ac:dyDescent="0.2">
      <c r="A20" s="3">
        <v>17</v>
      </c>
      <c r="B20" s="10">
        <f>RANK('5_bezr. na wsi'!C19,'5_bezr. na wsi'!$C$3:'5_bezr. na wsi'!$C$28,1)+COUNTIF('5_bezr. na wsi'!$C$3:'5_bezr. na wsi'!C19,'5_bezr. na wsi'!C19)-1</f>
        <v>21</v>
      </c>
      <c r="C20" s="8" t="str">
        <f>INDEX('5_bezr. na wsi'!B3:G28,MATCH(17,B4:B25,0),1)</f>
        <v>strzyżowski</v>
      </c>
      <c r="D20" s="10">
        <f>INDEX('5_bezr. na wsi'!B3:G28,MATCH(17,B4:B25,0),2)</f>
        <v>3050</v>
      </c>
      <c r="E20" s="9">
        <f>INDEX('5_bezr. na wsi'!B3:G28,MATCH(17,B4:B25,0),3)</f>
        <v>3085</v>
      </c>
      <c r="F20" s="10">
        <f>INDEX('5_bezr. na wsi'!B3:G28,MATCH(17,B4:B25,0),4)</f>
        <v>-35</v>
      </c>
      <c r="G20" s="9">
        <f>INDEX('5_bezr. na wsi'!B3:G28,MATCH(17,B4:B25,0),5)</f>
        <v>3261</v>
      </c>
      <c r="H20" s="10">
        <f>INDEX('5_bezr. na wsi'!B3:G28,MATCH(17,B4:B25,0),6)</f>
        <v>-211</v>
      </c>
    </row>
    <row r="21" spans="1:8" x14ac:dyDescent="0.2">
      <c r="A21" s="3">
        <v>18</v>
      </c>
      <c r="B21" s="10">
        <f>RANK('5_bezr. na wsi'!C20,'5_bezr. na wsi'!$C$3:'5_bezr. na wsi'!$C$28,1)+COUNTIF('5_bezr. na wsi'!$C$3:'5_bezr. na wsi'!C20,'5_bezr. na wsi'!C20)-1</f>
        <v>9</v>
      </c>
      <c r="C21" s="8" t="str">
        <f>INDEX('5_bezr. na wsi'!B3:G28,MATCH(18,B4:B25,0),1)</f>
        <v>przemyski</v>
      </c>
      <c r="D21" s="10">
        <f>INDEX('5_bezr. na wsi'!B3:G28,MATCH(18,B4:B25,0),2)</f>
        <v>3126</v>
      </c>
      <c r="E21" s="9">
        <f>INDEX('5_bezr. na wsi'!B3:G28,MATCH(18,B4:B25,0),3)</f>
        <v>3191</v>
      </c>
      <c r="F21" s="10">
        <f>INDEX('5_bezr. na wsi'!B3:G28,MATCH(18,B4:B25,0),4)</f>
        <v>-65</v>
      </c>
      <c r="G21" s="9">
        <f>INDEX('5_bezr. na wsi'!B3:G28,MATCH(18,B4:B25,0),5)</f>
        <v>3684</v>
      </c>
      <c r="H21" s="10">
        <f>INDEX('5_bezr. na wsi'!B3:G28,MATCH(18,B4:B25,0),6)</f>
        <v>-558</v>
      </c>
    </row>
    <row r="22" spans="1:8" x14ac:dyDescent="0.2">
      <c r="A22" s="3">
        <v>19</v>
      </c>
      <c r="B22" s="10">
        <f>RANK('5_bezr. na wsi'!C21,'5_bezr. na wsi'!$C$3:'5_bezr. na wsi'!$C$28,1)+COUNTIF('5_bezr. na wsi'!$C$3:'5_bezr. na wsi'!C21,'5_bezr. na wsi'!C21)-1</f>
        <v>2</v>
      </c>
      <c r="C22" s="8" t="str">
        <f>INDEX('5_bezr. na wsi'!B3:G28,MATCH(19,B4:B25,0),1)</f>
        <v>jasielski</v>
      </c>
      <c r="D22" s="10">
        <f>INDEX('5_bezr. na wsi'!B3:G28,MATCH(19,B4:B25,0),2)</f>
        <v>3664</v>
      </c>
      <c r="E22" s="9">
        <f>INDEX('5_bezr. na wsi'!B3:G28,MATCH(19,B4:B25,0),3)</f>
        <v>3677</v>
      </c>
      <c r="F22" s="10">
        <f>INDEX('5_bezr. na wsi'!B3:G28,MATCH(19,B4:B25,0),4)</f>
        <v>-13</v>
      </c>
      <c r="G22" s="9">
        <f>INDEX('5_bezr. na wsi'!B3:G28,MATCH(19,B4:B25,0),5)</f>
        <v>3849</v>
      </c>
      <c r="H22" s="10">
        <f>INDEX('5_bezr. na wsi'!B3:G28,MATCH(19,B4:B25,0),6)</f>
        <v>-185</v>
      </c>
    </row>
    <row r="23" spans="1:8" x14ac:dyDescent="0.2">
      <c r="A23" s="3">
        <v>20</v>
      </c>
      <c r="B23" s="10">
        <f>RANK('5_bezr. na wsi'!C22,'5_bezr. na wsi'!$C$3:'5_bezr. na wsi'!$C$28,1)+COUNTIF('5_bezr. na wsi'!$C$3:'5_bezr. na wsi'!C22,'5_bezr. na wsi'!C22)-1</f>
        <v>17</v>
      </c>
      <c r="C23" s="8" t="str">
        <f>INDEX('5_bezr. na wsi'!B3:G28,MATCH(20,B4:B25,0),1)</f>
        <v>brzozowski</v>
      </c>
      <c r="D23" s="10">
        <f>INDEX('5_bezr. na wsi'!B3:G28,MATCH(20,B4:B25,0),2)</f>
        <v>3792</v>
      </c>
      <c r="E23" s="9">
        <f>INDEX('5_bezr. na wsi'!B3:G28,MATCH(20,B4:B25,0),3)</f>
        <v>3786</v>
      </c>
      <c r="F23" s="10">
        <f>INDEX('5_bezr. na wsi'!B3:G28,MATCH(20,B4:B25,0),4)</f>
        <v>6</v>
      </c>
      <c r="G23" s="9">
        <f>INDEX('5_bezr. na wsi'!B3:G28,MATCH(20,B4:B25,0),5)</f>
        <v>3985</v>
      </c>
      <c r="H23" s="10">
        <f>INDEX('5_bezr. na wsi'!B3:G28,MATCH(20,B4:B25,0),6)</f>
        <v>-193</v>
      </c>
    </row>
    <row r="24" spans="1:8" x14ac:dyDescent="0.2">
      <c r="A24" s="3">
        <v>21</v>
      </c>
      <c r="B24" s="10">
        <f>RANK('5_bezr. na wsi'!C23,'5_bezr. na wsi'!$C$3:'5_bezr. na wsi'!$C$28,1)+COUNTIF('5_bezr. na wsi'!$C$3:'5_bezr. na wsi'!C23,'5_bezr. na wsi'!C23)-1</f>
        <v>3</v>
      </c>
      <c r="C24" s="8" t="str">
        <f>INDEX('5_bezr. na wsi'!B3:G28,MATCH(21,B4:B25,0),1)</f>
        <v>rzeszowski</v>
      </c>
      <c r="D24" s="10">
        <f>INDEX('5_bezr. na wsi'!B3:G28,MATCH(21,B4:B25,0),2)</f>
        <v>4049</v>
      </c>
      <c r="E24" s="9">
        <f>INDEX('5_bezr. na wsi'!B3:G28,MATCH(21,B4:B25,0),3)</f>
        <v>4013</v>
      </c>
      <c r="F24" s="10">
        <f>INDEX('5_bezr. na wsi'!B3:G28,MATCH(21,B4:B25,0),4)</f>
        <v>36</v>
      </c>
      <c r="G24" s="9">
        <f>INDEX('5_bezr. na wsi'!B3:G28,MATCH(21,B4:B25,0),5)</f>
        <v>4542</v>
      </c>
      <c r="H24" s="10">
        <f>INDEX('5_bezr. na wsi'!B3:G28,MATCH(21,B4:B25,0),6)</f>
        <v>-493</v>
      </c>
    </row>
    <row r="25" spans="1:8" ht="15" x14ac:dyDescent="0.25">
      <c r="A25" s="3">
        <v>22</v>
      </c>
      <c r="B25" s="34">
        <f>RANK('5_bezr. na wsi'!C24,'5_bezr. na wsi'!$C$3:'5_bezr. na wsi'!$C$28,1)+COUNTIF('5_bezr. na wsi'!$C$3:'5_bezr. na wsi'!C24,'5_bezr. na wsi'!C24)-1</f>
        <v>22</v>
      </c>
      <c r="C25" s="69" t="str">
        <f>INDEX('5_bezr. na wsi'!B3:G28,MATCH(22,B4:B25,0),1)</f>
        <v>województwo</v>
      </c>
      <c r="D25" s="34">
        <f>INDEX('5_bezr. na wsi'!B3:G28,MATCH(22,B4:B25,0),2)</f>
        <v>45826</v>
      </c>
      <c r="E25" s="17">
        <f>INDEX('5_bezr. na wsi'!B3:G28,MATCH(22,B4:B25,0),3)</f>
        <v>45965</v>
      </c>
      <c r="F25" s="34">
        <f>INDEX('5_bezr. na wsi'!B3:G28,MATCH(22,B4:B25,0),4)</f>
        <v>-139</v>
      </c>
      <c r="G25" s="17">
        <f>INDEX('5_bezr. na wsi'!B3:G28,MATCH(22,B4:B25,0),5)</f>
        <v>49726</v>
      </c>
      <c r="H25" s="34">
        <f>INDEX('5_bezr. na wsi'!B3:G28,MATCH(22,B4:B25,0),6)</f>
        <v>-3900</v>
      </c>
    </row>
  </sheetData>
  <pageMargins left="0" right="0" top="0.31496062992125984" bottom="0" header="0" footer="0"/>
  <pageSetup paperSize="9" scale="7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  <pageSetUpPr fitToPage="1"/>
  </sheetPr>
  <dimension ref="B1:H30"/>
  <sheetViews>
    <sheetView zoomScale="80" zoomScaleNormal="80" workbookViewId="0">
      <selection activeCell="C3" sqref="C3"/>
    </sheetView>
  </sheetViews>
  <sheetFormatPr defaultRowHeight="14.25" x14ac:dyDescent="0.2"/>
  <cols>
    <col min="1" max="1" width="1.5703125" style="3" customWidth="1"/>
    <col min="2" max="2" width="24.85546875" style="3" customWidth="1"/>
    <col min="3" max="3" width="19.140625" style="3" customWidth="1"/>
    <col min="4" max="4" width="18.7109375" style="3" customWidth="1"/>
    <col min="5" max="5" width="17.5703125" style="3" customWidth="1"/>
    <col min="6" max="6" width="19.28515625" style="3" customWidth="1"/>
    <col min="7" max="7" width="17.28515625" style="3" customWidth="1"/>
    <col min="8" max="16384" width="9.140625" style="3"/>
  </cols>
  <sheetData>
    <row r="1" spans="2:8" ht="19.5" customHeight="1" x14ac:dyDescent="0.2">
      <c r="B1" s="1" t="s">
        <v>79</v>
      </c>
      <c r="C1" s="70"/>
      <c r="D1" s="70"/>
      <c r="E1" s="70"/>
      <c r="F1" s="70"/>
      <c r="G1" s="70"/>
    </row>
    <row r="2" spans="2:8" ht="57" x14ac:dyDescent="0.2">
      <c r="B2" s="5" t="s">
        <v>27</v>
      </c>
      <c r="C2" s="6" t="s">
        <v>122</v>
      </c>
      <c r="D2" s="7" t="s">
        <v>106</v>
      </c>
      <c r="E2" s="6" t="s">
        <v>28</v>
      </c>
      <c r="F2" s="7" t="s">
        <v>123</v>
      </c>
      <c r="G2" s="6" t="s">
        <v>26</v>
      </c>
    </row>
    <row r="3" spans="2:8" x14ac:dyDescent="0.2">
      <c r="B3" s="8" t="s">
        <v>0</v>
      </c>
      <c r="C3" s="10">
        <v>661</v>
      </c>
      <c r="D3" s="9">
        <v>669</v>
      </c>
      <c r="E3" s="10">
        <f t="shared" ref="E3:E27" si="0">SUM(C3)-D3</f>
        <v>-8</v>
      </c>
      <c r="F3" s="9">
        <v>739</v>
      </c>
      <c r="G3" s="10">
        <f t="shared" ref="G3:G27" si="1">SUM(C3)-F3</f>
        <v>-78</v>
      </c>
      <c r="H3" s="11"/>
    </row>
    <row r="4" spans="2:8" x14ac:dyDescent="0.2">
      <c r="B4" s="8" t="s">
        <v>1</v>
      </c>
      <c r="C4" s="10">
        <v>2642</v>
      </c>
      <c r="D4" s="9">
        <v>2631</v>
      </c>
      <c r="E4" s="10">
        <f t="shared" si="0"/>
        <v>11</v>
      </c>
      <c r="F4" s="9">
        <v>2771</v>
      </c>
      <c r="G4" s="10">
        <f t="shared" si="1"/>
        <v>-129</v>
      </c>
      <c r="H4" s="11"/>
    </row>
    <row r="5" spans="2:8" x14ac:dyDescent="0.2">
      <c r="B5" s="8" t="s">
        <v>2</v>
      </c>
      <c r="C5" s="10">
        <v>1051</v>
      </c>
      <c r="D5" s="9">
        <v>1077</v>
      </c>
      <c r="E5" s="10">
        <f t="shared" si="0"/>
        <v>-26</v>
      </c>
      <c r="F5" s="9">
        <v>1351</v>
      </c>
      <c r="G5" s="10">
        <f t="shared" si="1"/>
        <v>-300</v>
      </c>
      <c r="H5" s="11"/>
    </row>
    <row r="6" spans="2:8" x14ac:dyDescent="0.2">
      <c r="B6" s="8" t="s">
        <v>3</v>
      </c>
      <c r="C6" s="10">
        <v>2825</v>
      </c>
      <c r="D6" s="9">
        <v>2849</v>
      </c>
      <c r="E6" s="10">
        <f t="shared" si="0"/>
        <v>-24</v>
      </c>
      <c r="F6" s="9">
        <v>3362</v>
      </c>
      <c r="G6" s="10">
        <f t="shared" si="1"/>
        <v>-537</v>
      </c>
      <c r="H6" s="11"/>
    </row>
    <row r="7" spans="2:8" x14ac:dyDescent="0.2">
      <c r="B7" s="8" t="s">
        <v>4</v>
      </c>
      <c r="C7" s="10">
        <v>3100</v>
      </c>
      <c r="D7" s="9">
        <v>3072</v>
      </c>
      <c r="E7" s="10">
        <f t="shared" si="0"/>
        <v>28</v>
      </c>
      <c r="F7" s="9">
        <v>3577</v>
      </c>
      <c r="G7" s="10">
        <f t="shared" si="1"/>
        <v>-477</v>
      </c>
      <c r="H7" s="11"/>
    </row>
    <row r="8" spans="2:8" x14ac:dyDescent="0.2">
      <c r="B8" s="8" t="s">
        <v>5</v>
      </c>
      <c r="C8" s="10">
        <v>833</v>
      </c>
      <c r="D8" s="9">
        <v>823</v>
      </c>
      <c r="E8" s="10">
        <f t="shared" si="0"/>
        <v>10</v>
      </c>
      <c r="F8" s="9">
        <v>949</v>
      </c>
      <c r="G8" s="10">
        <f t="shared" si="1"/>
        <v>-116</v>
      </c>
      <c r="H8" s="11"/>
    </row>
    <row r="9" spans="2:8" x14ac:dyDescent="0.2">
      <c r="B9" s="13" t="s">
        <v>6</v>
      </c>
      <c r="C9" s="10">
        <v>988</v>
      </c>
      <c r="D9" s="9">
        <v>976</v>
      </c>
      <c r="E9" s="10">
        <f t="shared" si="0"/>
        <v>12</v>
      </c>
      <c r="F9" s="9">
        <v>1042</v>
      </c>
      <c r="G9" s="10">
        <f t="shared" si="1"/>
        <v>-54</v>
      </c>
      <c r="H9" s="11"/>
    </row>
    <row r="10" spans="2:8" x14ac:dyDescent="0.2">
      <c r="B10" s="8" t="s">
        <v>7</v>
      </c>
      <c r="C10" s="10">
        <v>1106</v>
      </c>
      <c r="D10" s="9">
        <v>1109</v>
      </c>
      <c r="E10" s="10">
        <f t="shared" si="0"/>
        <v>-3</v>
      </c>
      <c r="F10" s="9">
        <v>1088</v>
      </c>
      <c r="G10" s="10">
        <f t="shared" si="1"/>
        <v>18</v>
      </c>
      <c r="H10" s="11"/>
    </row>
    <row r="11" spans="2:8" x14ac:dyDescent="0.2">
      <c r="B11" s="8" t="s">
        <v>8</v>
      </c>
      <c r="C11" s="10">
        <v>1979</v>
      </c>
      <c r="D11" s="9">
        <v>1969</v>
      </c>
      <c r="E11" s="10">
        <f t="shared" si="0"/>
        <v>10</v>
      </c>
      <c r="F11" s="9">
        <v>2302</v>
      </c>
      <c r="G11" s="10">
        <f t="shared" si="1"/>
        <v>-323</v>
      </c>
      <c r="H11" s="11"/>
    </row>
    <row r="12" spans="2:8" x14ac:dyDescent="0.2">
      <c r="B12" s="8" t="s">
        <v>9</v>
      </c>
      <c r="C12" s="10">
        <v>1004</v>
      </c>
      <c r="D12" s="9">
        <v>1023</v>
      </c>
      <c r="E12" s="10">
        <f t="shared" si="0"/>
        <v>-19</v>
      </c>
      <c r="F12" s="9">
        <v>1165</v>
      </c>
      <c r="G12" s="10">
        <f t="shared" si="1"/>
        <v>-161</v>
      </c>
      <c r="H12" s="11"/>
    </row>
    <row r="13" spans="2:8" x14ac:dyDescent="0.2">
      <c r="B13" s="8" t="s">
        <v>10</v>
      </c>
      <c r="C13" s="10">
        <v>1424</v>
      </c>
      <c r="D13" s="9">
        <v>1442</v>
      </c>
      <c r="E13" s="10">
        <f t="shared" si="0"/>
        <v>-18</v>
      </c>
      <c r="F13" s="9">
        <v>2004</v>
      </c>
      <c r="G13" s="10">
        <f t="shared" si="1"/>
        <v>-580</v>
      </c>
      <c r="H13" s="11"/>
    </row>
    <row r="14" spans="2:8" x14ac:dyDescent="0.2">
      <c r="B14" s="8" t="s">
        <v>11</v>
      </c>
      <c r="C14" s="10">
        <v>1242</v>
      </c>
      <c r="D14" s="9">
        <v>1254</v>
      </c>
      <c r="E14" s="10">
        <f t="shared" si="0"/>
        <v>-12</v>
      </c>
      <c r="F14" s="9">
        <v>1438</v>
      </c>
      <c r="G14" s="10">
        <f t="shared" si="1"/>
        <v>-196</v>
      </c>
      <c r="H14" s="11"/>
    </row>
    <row r="15" spans="2:8" x14ac:dyDescent="0.2">
      <c r="B15" s="8" t="s">
        <v>12</v>
      </c>
      <c r="C15" s="10">
        <v>1820</v>
      </c>
      <c r="D15" s="9">
        <v>1815</v>
      </c>
      <c r="E15" s="10">
        <f t="shared" si="0"/>
        <v>5</v>
      </c>
      <c r="F15" s="9">
        <v>2110</v>
      </c>
      <c r="G15" s="10">
        <f t="shared" si="1"/>
        <v>-290</v>
      </c>
      <c r="H15" s="11"/>
    </row>
    <row r="16" spans="2:8" x14ac:dyDescent="0.2">
      <c r="B16" s="8" t="s">
        <v>13</v>
      </c>
      <c r="C16" s="10">
        <v>1926</v>
      </c>
      <c r="D16" s="9">
        <v>1968</v>
      </c>
      <c r="E16" s="10">
        <f t="shared" si="0"/>
        <v>-42</v>
      </c>
      <c r="F16" s="9">
        <v>2281</v>
      </c>
      <c r="G16" s="10">
        <f t="shared" si="1"/>
        <v>-355</v>
      </c>
      <c r="H16" s="11"/>
    </row>
    <row r="17" spans="2:8" x14ac:dyDescent="0.2">
      <c r="B17" s="8" t="s">
        <v>14</v>
      </c>
      <c r="C17" s="10">
        <v>2207</v>
      </c>
      <c r="D17" s="9">
        <v>2240</v>
      </c>
      <c r="E17" s="10">
        <f t="shared" si="0"/>
        <v>-33</v>
      </c>
      <c r="F17" s="9">
        <v>2453</v>
      </c>
      <c r="G17" s="10">
        <f t="shared" si="1"/>
        <v>-246</v>
      </c>
      <c r="H17" s="11"/>
    </row>
    <row r="18" spans="2:8" x14ac:dyDescent="0.2">
      <c r="B18" s="8" t="s">
        <v>15</v>
      </c>
      <c r="C18" s="10">
        <v>1536</v>
      </c>
      <c r="D18" s="9">
        <v>1574</v>
      </c>
      <c r="E18" s="10">
        <f t="shared" si="0"/>
        <v>-38</v>
      </c>
      <c r="F18" s="9">
        <v>1927</v>
      </c>
      <c r="G18" s="10">
        <f t="shared" si="1"/>
        <v>-391</v>
      </c>
      <c r="H18" s="11"/>
    </row>
    <row r="19" spans="2:8" x14ac:dyDescent="0.2">
      <c r="B19" s="8" t="s">
        <v>16</v>
      </c>
      <c r="C19" s="10">
        <v>2954</v>
      </c>
      <c r="D19" s="9">
        <v>3014</v>
      </c>
      <c r="E19" s="10">
        <f t="shared" si="0"/>
        <v>-60</v>
      </c>
      <c r="F19" s="9">
        <v>3536</v>
      </c>
      <c r="G19" s="10">
        <f t="shared" si="1"/>
        <v>-582</v>
      </c>
      <c r="H19" s="11"/>
    </row>
    <row r="20" spans="2:8" x14ac:dyDescent="0.2">
      <c r="B20" s="8" t="s">
        <v>17</v>
      </c>
      <c r="C20" s="10">
        <v>1366</v>
      </c>
      <c r="D20" s="9">
        <v>1355</v>
      </c>
      <c r="E20" s="10">
        <f t="shared" si="0"/>
        <v>11</v>
      </c>
      <c r="F20" s="9">
        <v>1345</v>
      </c>
      <c r="G20" s="10">
        <f t="shared" si="1"/>
        <v>21</v>
      </c>
      <c r="H20" s="11"/>
    </row>
    <row r="21" spans="2:8" x14ac:dyDescent="0.2">
      <c r="B21" s="8" t="s">
        <v>18</v>
      </c>
      <c r="C21" s="10">
        <v>822</v>
      </c>
      <c r="D21" s="9">
        <v>813</v>
      </c>
      <c r="E21" s="10">
        <f t="shared" si="0"/>
        <v>9</v>
      </c>
      <c r="F21" s="9">
        <v>1035</v>
      </c>
      <c r="G21" s="10">
        <f t="shared" si="1"/>
        <v>-213</v>
      </c>
      <c r="H21" s="11"/>
    </row>
    <row r="22" spans="2:8" x14ac:dyDescent="0.2">
      <c r="B22" s="8" t="s">
        <v>19</v>
      </c>
      <c r="C22" s="10">
        <v>2087</v>
      </c>
      <c r="D22" s="9">
        <v>2129</v>
      </c>
      <c r="E22" s="10">
        <f t="shared" si="0"/>
        <v>-42</v>
      </c>
      <c r="F22" s="9">
        <v>2371</v>
      </c>
      <c r="G22" s="10">
        <f t="shared" si="1"/>
        <v>-284</v>
      </c>
      <c r="H22" s="11"/>
    </row>
    <row r="23" spans="2:8" x14ac:dyDescent="0.2">
      <c r="B23" s="8" t="s">
        <v>20</v>
      </c>
      <c r="C23" s="10">
        <v>705</v>
      </c>
      <c r="D23" s="9">
        <v>705</v>
      </c>
      <c r="E23" s="10">
        <f t="shared" si="0"/>
        <v>0</v>
      </c>
      <c r="F23" s="9">
        <v>913</v>
      </c>
      <c r="G23" s="10">
        <f t="shared" si="1"/>
        <v>-208</v>
      </c>
      <c r="H23" s="11"/>
    </row>
    <row r="24" spans="2:8" x14ac:dyDescent="0.2">
      <c r="B24" s="8" t="s">
        <v>21</v>
      </c>
      <c r="C24" s="10">
        <v>330</v>
      </c>
      <c r="D24" s="9">
        <v>330</v>
      </c>
      <c r="E24" s="10">
        <f t="shared" si="0"/>
        <v>0</v>
      </c>
      <c r="F24" s="9">
        <v>348</v>
      </c>
      <c r="G24" s="10">
        <f t="shared" si="1"/>
        <v>-18</v>
      </c>
      <c r="H24" s="11"/>
    </row>
    <row r="25" spans="2:8" x14ac:dyDescent="0.2">
      <c r="B25" s="8" t="s">
        <v>22</v>
      </c>
      <c r="C25" s="71">
        <v>1632</v>
      </c>
      <c r="D25" s="9">
        <v>1661</v>
      </c>
      <c r="E25" s="71">
        <f t="shared" si="0"/>
        <v>-29</v>
      </c>
      <c r="F25" s="9">
        <v>1990</v>
      </c>
      <c r="G25" s="10">
        <f t="shared" si="1"/>
        <v>-358</v>
      </c>
      <c r="H25" s="11"/>
    </row>
    <row r="26" spans="2:8" x14ac:dyDescent="0.2">
      <c r="B26" s="8" t="s">
        <v>23</v>
      </c>
      <c r="C26" s="71">
        <v>3369</v>
      </c>
      <c r="D26" s="9">
        <v>3398</v>
      </c>
      <c r="E26" s="71">
        <f t="shared" si="0"/>
        <v>-29</v>
      </c>
      <c r="F26" s="9">
        <v>4150</v>
      </c>
      <c r="G26" s="10">
        <f t="shared" si="1"/>
        <v>-781</v>
      </c>
      <c r="H26" s="11"/>
    </row>
    <row r="27" spans="2:8" x14ac:dyDescent="0.2">
      <c r="B27" s="8" t="s">
        <v>24</v>
      </c>
      <c r="C27" s="71">
        <v>615</v>
      </c>
      <c r="D27" s="9">
        <v>624</v>
      </c>
      <c r="E27" s="71">
        <f t="shared" si="0"/>
        <v>-9</v>
      </c>
      <c r="F27" s="9">
        <v>798</v>
      </c>
      <c r="G27" s="10">
        <f t="shared" si="1"/>
        <v>-183</v>
      </c>
      <c r="H27" s="11"/>
    </row>
    <row r="28" spans="2:8" ht="15" x14ac:dyDescent="0.25">
      <c r="B28" s="15" t="s">
        <v>25</v>
      </c>
      <c r="C28" s="16">
        <f>SUM(C3:C27)</f>
        <v>40224</v>
      </c>
      <c r="D28" s="37">
        <f>SUM(D3:D27)</f>
        <v>40520</v>
      </c>
      <c r="E28" s="16">
        <f>SUM(E3:E27)</f>
        <v>-296</v>
      </c>
      <c r="F28" s="37">
        <f>SUM(F3:F27)</f>
        <v>47045</v>
      </c>
      <c r="G28" s="16">
        <f>SUM(G3:G27)</f>
        <v>-6821</v>
      </c>
      <c r="H28" s="11"/>
    </row>
    <row r="29" spans="2:8" ht="15" x14ac:dyDescent="0.25">
      <c r="B29" s="3" t="s">
        <v>97</v>
      </c>
      <c r="E29" s="30"/>
      <c r="F29" s="11"/>
      <c r="G29" s="11"/>
    </row>
    <row r="30" spans="2:8" x14ac:dyDescent="0.2">
      <c r="B30" s="3" t="s">
        <v>98</v>
      </c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85546875" style="3" customWidth="1"/>
    <col min="2" max="2" width="7.28515625" style="3" customWidth="1"/>
    <col min="3" max="3" width="24.28515625" style="3" customWidth="1"/>
    <col min="4" max="4" width="14.7109375" style="3" customWidth="1"/>
    <col min="5" max="5" width="15" style="3" customWidth="1"/>
    <col min="6" max="6" width="16" style="3" customWidth="1"/>
    <col min="7" max="7" width="15.140625" style="3" customWidth="1"/>
    <col min="8" max="8" width="17.140625" style="3" customWidth="1"/>
    <col min="9" max="9" width="5.7109375" style="3" customWidth="1"/>
    <col min="10" max="10" width="6" style="3" customWidth="1"/>
    <col min="11" max="18" width="9.140625" style="3"/>
    <col min="19" max="19" width="8.140625" style="3" customWidth="1"/>
    <col min="20" max="20" width="4.85546875" style="3" customWidth="1"/>
    <col min="21" max="16384" width="9.140625" style="3"/>
  </cols>
  <sheetData>
    <row r="1" spans="2:8" x14ac:dyDescent="0.2">
      <c r="B1" s="2" t="s">
        <v>91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T('6_długot.'!B2)</f>
        <v>powiaty</v>
      </c>
      <c r="D3" s="5" t="str">
        <f>T('6_długot.'!C2)</f>
        <v>liczba bezrobotnych pow. 12 m-cy stan na 28 II '23 r.</v>
      </c>
      <c r="E3" s="5" t="str">
        <f>T('6_długot.'!D2)</f>
        <v>liczba bezrobotnych pow. 12 m-cy stan na 31 I '23 r.</v>
      </c>
      <c r="F3" s="5" t="str">
        <f>T('6_długot.'!E2)</f>
        <v>wzrost/spadek do poprzedniego  miesiąca</v>
      </c>
      <c r="G3" s="5" t="str">
        <f>T('6_długot.'!F2)</f>
        <v>liczba bezrobotnych pow. 12 m-cy,  stan na 28 II '22 r.</v>
      </c>
      <c r="H3" s="5" t="str">
        <f>T('6_długot.'!G2)</f>
        <v>wzrost/spadek do analogicznego okresu ubr.</v>
      </c>
    </row>
    <row r="4" spans="2:8" x14ac:dyDescent="0.2">
      <c r="B4" s="10">
        <f>RANK('6_długot.'!C3,'6_długot.'!$C$3:'6_długot.'!$C$28,1)+COUNTIF('6_długot.'!$C$3:'6_długot.'!C3,'6_długot.'!C3)-1</f>
        <v>3</v>
      </c>
      <c r="C4" s="8" t="str">
        <f>INDEX('6_długot.'!B3:G28,MATCH(1,B4:B29,0),1)</f>
        <v>Krosno</v>
      </c>
      <c r="D4" s="39">
        <f>INDEX('6_długot.'!B3:G28,MATCH(1,B4:B29,0),2)</f>
        <v>330</v>
      </c>
      <c r="E4" s="9">
        <f>INDEX('6_długot.'!B3:G28,MATCH(1,B4:B29,0),3)</f>
        <v>330</v>
      </c>
      <c r="F4" s="10">
        <f>INDEX('6_długot.'!B3:G28,MATCH(1,B4:B29,0),4)</f>
        <v>0</v>
      </c>
      <c r="G4" s="9">
        <f>INDEX('6_długot.'!B3:G28,MATCH(1,B4:B29,0),5)</f>
        <v>348</v>
      </c>
      <c r="H4" s="10">
        <f>INDEX('6_długot.'!B3:G28,MATCH(1,B4:B29,0),6)</f>
        <v>-18</v>
      </c>
    </row>
    <row r="5" spans="2:8" x14ac:dyDescent="0.2">
      <c r="B5" s="10">
        <f>RANK('6_długot.'!C4,'6_długot.'!$C$3:'6_długot.'!$C$28,1)+COUNTIF('6_długot.'!$C$3:'6_długot.'!C4,'6_długot.'!C4)-1</f>
        <v>21</v>
      </c>
      <c r="C5" s="8" t="str">
        <f>INDEX('6_długot.'!B3:G28,MATCH(2,B4:B29,0),1)</f>
        <v>Tarnobrzeg</v>
      </c>
      <c r="D5" s="10">
        <f>INDEX('6_długot.'!B3:G28,MATCH(2,B4:B29,0),2)</f>
        <v>615</v>
      </c>
      <c r="E5" s="9">
        <f>INDEX('6_długot.'!B3:G28,MATCH(2,B4:B29,0),3)</f>
        <v>624</v>
      </c>
      <c r="F5" s="10">
        <f>INDEX('6_długot.'!B3:G28,MATCH(2,B4:B29,0),4)</f>
        <v>-9</v>
      </c>
      <c r="G5" s="9">
        <f>INDEX('6_długot.'!B3:G28,MATCH(2,B4:B29,0),5)</f>
        <v>798</v>
      </c>
      <c r="H5" s="10">
        <f>INDEX('6_długot.'!B3:G28,MATCH(2,B4:B29,0),6)</f>
        <v>-183</v>
      </c>
    </row>
    <row r="6" spans="2:8" x14ac:dyDescent="0.2">
      <c r="B6" s="10">
        <f>RANK('6_długot.'!C5,'6_długot.'!$C$3:'6_długot.'!$C$28,1)+COUNTIF('6_długot.'!$C$3:'6_długot.'!C5,'6_długot.'!C5)-1</f>
        <v>9</v>
      </c>
      <c r="C6" s="8" t="str">
        <f>INDEX('6_długot.'!B3:G28,MATCH(3,B4:B29,0),1)</f>
        <v>bieszczadzki</v>
      </c>
      <c r="D6" s="10">
        <f>INDEX('6_długot.'!B3:G28,MATCH(3,B4:B29,0),2)</f>
        <v>661</v>
      </c>
      <c r="E6" s="9">
        <f>INDEX('6_długot.'!B3:G28,MATCH(3,B4:B29,0),3)</f>
        <v>669</v>
      </c>
      <c r="F6" s="10">
        <f>INDEX('6_długot.'!B3:G28,MATCH(3,B4:B29,0),4)</f>
        <v>-8</v>
      </c>
      <c r="G6" s="9">
        <f>INDEX('6_długot.'!B3:G28,MATCH(3,B4:B29,0),5)</f>
        <v>739</v>
      </c>
      <c r="H6" s="10">
        <f>INDEX('6_długot.'!B3:G28,MATCH(3,B4:B29,0),6)</f>
        <v>-78</v>
      </c>
    </row>
    <row r="7" spans="2:8" x14ac:dyDescent="0.2">
      <c r="B7" s="10">
        <f>RANK('6_długot.'!C6,'6_długot.'!$C$3:'6_długot.'!$C$28,1)+COUNTIF('6_długot.'!$C$3:'6_długot.'!C6,'6_długot.'!C6)-1</f>
        <v>22</v>
      </c>
      <c r="C7" s="8" t="str">
        <f>INDEX('6_długot.'!B3:G28,MATCH(4,B4:B29,0),1)</f>
        <v xml:space="preserve">tarnobrzeski </v>
      </c>
      <c r="D7" s="10">
        <f>INDEX('6_długot.'!B3:G28,MATCH(4,B4:B29,0),2)</f>
        <v>705</v>
      </c>
      <c r="E7" s="9">
        <f>INDEX('6_długot.'!B3:G28,MATCH(4,B4:B29,0),3)</f>
        <v>705</v>
      </c>
      <c r="F7" s="10">
        <f>INDEX('6_długot.'!B3:G28,MATCH(4,B4:B29,0),4)</f>
        <v>0</v>
      </c>
      <c r="G7" s="9">
        <f>INDEX('6_długot.'!B3:G28,MATCH(4,B4:B29,0),5)</f>
        <v>913</v>
      </c>
      <c r="H7" s="10">
        <f>INDEX('6_długot.'!B3:G28,MATCH(4,B4:B29,0),6)</f>
        <v>-208</v>
      </c>
    </row>
    <row r="8" spans="2:8" x14ac:dyDescent="0.2">
      <c r="B8" s="10">
        <f>RANK('6_długot.'!C7,'6_długot.'!$C$3:'6_długot.'!$C$28,1)+COUNTIF('6_długot.'!$C$3:'6_długot.'!C7,'6_długot.'!C7)-1</f>
        <v>24</v>
      </c>
      <c r="C8" s="8" t="str">
        <f>INDEX('6_długot.'!B3:G28,MATCH(5,B4:B29,0),1)</f>
        <v>stalowowolski</v>
      </c>
      <c r="D8" s="10">
        <f>INDEX('6_długot.'!B3:G28,MATCH(5,B4:B29,0),2)</f>
        <v>822</v>
      </c>
      <c r="E8" s="9">
        <f>INDEX('6_długot.'!B3:G28,MATCH(5,B4:B29,0),3)</f>
        <v>813</v>
      </c>
      <c r="F8" s="10">
        <f>INDEX('6_długot.'!B3:G28,MATCH(5,B4:B29,0),4)</f>
        <v>9</v>
      </c>
      <c r="G8" s="9">
        <f>INDEX('6_długot.'!B3:G28,MATCH(5,B4:B29,0),5)</f>
        <v>1035</v>
      </c>
      <c r="H8" s="10">
        <f>INDEX('6_długot.'!B3:G28,MATCH(5,B4:B29,0),6)</f>
        <v>-213</v>
      </c>
    </row>
    <row r="9" spans="2:8" x14ac:dyDescent="0.2">
      <c r="B9" s="10">
        <f>RANK('6_długot.'!C8,'6_długot.'!$C$3:'6_długot.'!$C$28,1)+COUNTIF('6_długot.'!$C$3:'6_długot.'!C8,'6_długot.'!C8)-1</f>
        <v>6</v>
      </c>
      <c r="C9" s="8" t="str">
        <f>INDEX('6_długot.'!B3:G28,MATCH(6,B4:B29,0),1)</f>
        <v>kolbuszowski</v>
      </c>
      <c r="D9" s="10">
        <f>INDEX('6_długot.'!B3:G28,MATCH(6,B4:B29,0),2)</f>
        <v>833</v>
      </c>
      <c r="E9" s="9">
        <f>INDEX('6_długot.'!B3:G28,MATCH(6,B4:B29,0),3)</f>
        <v>823</v>
      </c>
      <c r="F9" s="10">
        <f>INDEX('6_długot.'!B3:G28,MATCH(6,B4:B29,0),4)</f>
        <v>10</v>
      </c>
      <c r="G9" s="9">
        <f>INDEX('6_długot.'!B3:G28,MATCH(6,B4:B29,0),5)</f>
        <v>949</v>
      </c>
      <c r="H9" s="10">
        <f>INDEX('6_długot.'!B3:G28,MATCH(6,B4:B29,0),6)</f>
        <v>-116</v>
      </c>
    </row>
    <row r="10" spans="2:8" x14ac:dyDescent="0.2">
      <c r="B10" s="10">
        <f>RANK('6_długot.'!C9,'6_długot.'!$C$3:'6_długot.'!$C$28,1)+COUNTIF('6_długot.'!$C$3:'6_długot.'!C9,'6_długot.'!C9)-1</f>
        <v>7</v>
      </c>
      <c r="C10" s="13" t="str">
        <f>INDEX('6_długot.'!B3:G28,MATCH(7,B4:B29,0),1)</f>
        <v>krośnieński</v>
      </c>
      <c r="D10" s="10">
        <f>INDEX('6_długot.'!B3:G28,MATCH(7,B4:B29,0),2)</f>
        <v>988</v>
      </c>
      <c r="E10" s="9">
        <f>INDEX('6_długot.'!B3:G28,MATCH(7,B4:B29,0),3)</f>
        <v>976</v>
      </c>
      <c r="F10" s="10">
        <f>INDEX('6_długot.'!B3:G28,MATCH(7,B4:B29,0),4)</f>
        <v>12</v>
      </c>
      <c r="G10" s="9">
        <f>INDEX('6_długot.'!B3:G28,MATCH(7,B4:B29,0),5)</f>
        <v>1042</v>
      </c>
      <c r="H10" s="10">
        <f>INDEX('6_długot.'!B3:G28,MATCH(7,B4:B29,0),6)</f>
        <v>-54</v>
      </c>
    </row>
    <row r="11" spans="2:8" x14ac:dyDescent="0.2">
      <c r="B11" s="10">
        <f>RANK('6_długot.'!C10,'6_długot.'!$C$3:'6_długot.'!$C$28,1)+COUNTIF('6_długot.'!$C$3:'6_długot.'!C10,'6_długot.'!C10)-1</f>
        <v>10</v>
      </c>
      <c r="C11" s="8" t="str">
        <f>INDEX('6_długot.'!B3:G28,MATCH(8,B4:B29,0),1)</f>
        <v>lubaczowski</v>
      </c>
      <c r="D11" s="10">
        <f>INDEX('6_długot.'!B3:G28,MATCH(8,B4:B29,0),2)</f>
        <v>1004</v>
      </c>
      <c r="E11" s="9">
        <f>INDEX('6_długot.'!B3:G28,MATCH(8,B4:B29,0),3)</f>
        <v>1023</v>
      </c>
      <c r="F11" s="10">
        <f>INDEX('6_długot.'!B3:G28,MATCH(8,B4:B29,0),4)</f>
        <v>-19</v>
      </c>
      <c r="G11" s="9">
        <f>INDEX('6_długot.'!B3:G28,MATCH(8,B4:B29,0),5)</f>
        <v>1165</v>
      </c>
      <c r="H11" s="10">
        <f>INDEX('6_długot.'!B3:G28,MATCH(8,B4:B29,0),6)</f>
        <v>-161</v>
      </c>
    </row>
    <row r="12" spans="2:8" x14ac:dyDescent="0.2">
      <c r="B12" s="10">
        <f>RANK('6_długot.'!C11,'6_długot.'!$C$3:'6_długot.'!$C$28,1)+COUNTIF('6_długot.'!$C$3:'6_długot.'!C11,'6_długot.'!C11)-1</f>
        <v>18</v>
      </c>
      <c r="C12" s="8" t="str">
        <f>INDEX('6_długot.'!B3:G28,MATCH(9,B4:B29,0),1)</f>
        <v>dębicki</v>
      </c>
      <c r="D12" s="10">
        <f>INDEX('6_długot.'!B3:G28,MATCH(9,B4:B29,0),2)</f>
        <v>1051</v>
      </c>
      <c r="E12" s="9">
        <f>INDEX('6_długot.'!B3:G28,MATCH(9,B4:B29,0),3)</f>
        <v>1077</v>
      </c>
      <c r="F12" s="10">
        <f>INDEX('6_długot.'!B3:G28,MATCH(9,B4:B29,0),4)</f>
        <v>-26</v>
      </c>
      <c r="G12" s="9">
        <f>INDEX('6_długot.'!B3:G28,MATCH(9,B4:B29,0),5)</f>
        <v>1351</v>
      </c>
      <c r="H12" s="10">
        <f>INDEX('6_długot.'!B3:G28,MATCH(9,B4:B29,0),6)</f>
        <v>-300</v>
      </c>
    </row>
    <row r="13" spans="2:8" x14ac:dyDescent="0.2">
      <c r="B13" s="10">
        <f>RANK('6_długot.'!C12,'6_długot.'!$C$3:'6_długot.'!$C$28,1)+COUNTIF('6_długot.'!$C$3:'6_długot.'!C12,'6_długot.'!C12)-1</f>
        <v>8</v>
      </c>
      <c r="C13" s="8" t="str">
        <f>INDEX('6_długot.'!B3:G28,MATCH(10,B4:B29,0),1)</f>
        <v>leski</v>
      </c>
      <c r="D13" s="10">
        <f>INDEX('6_długot.'!B3:G28,MATCH(10,B4:B29,0),2)</f>
        <v>1106</v>
      </c>
      <c r="E13" s="9">
        <f>INDEX('6_długot.'!B3:G28,MATCH(10,B4:B29,0),3)</f>
        <v>1109</v>
      </c>
      <c r="F13" s="10">
        <f>INDEX('6_długot.'!B3:G28,MATCH(10,B4:B29,0),4)</f>
        <v>-3</v>
      </c>
      <c r="G13" s="9">
        <f>INDEX('6_długot.'!B3:G28,MATCH(10,B4:B29,0),5)</f>
        <v>1088</v>
      </c>
      <c r="H13" s="10">
        <f>INDEX('6_długot.'!B3:G28,MATCH(10,B4:B29,0),6)</f>
        <v>18</v>
      </c>
    </row>
    <row r="14" spans="2:8" x14ac:dyDescent="0.2">
      <c r="B14" s="10">
        <f>RANK('6_długot.'!C13,'6_długot.'!$C$3:'6_długot.'!$C$28,1)+COUNTIF('6_długot.'!$C$3:'6_długot.'!C13,'6_długot.'!C13)-1</f>
        <v>13</v>
      </c>
      <c r="C14" s="8" t="str">
        <f>INDEX('6_długot.'!B3:G28,MATCH(11,B4:B29,0),1)</f>
        <v>mielecki</v>
      </c>
      <c r="D14" s="10">
        <f>INDEX('6_długot.'!B3:G28,MATCH(11,B4:B29,0),2)</f>
        <v>1242</v>
      </c>
      <c r="E14" s="9">
        <f>INDEX('6_długot.'!B3:G28,MATCH(11,B4:B29,0),3)</f>
        <v>1254</v>
      </c>
      <c r="F14" s="10">
        <f>INDEX('6_długot.'!B3:G28,MATCH(11,B4:B29,0),4)</f>
        <v>-12</v>
      </c>
      <c r="G14" s="9">
        <f>INDEX('6_długot.'!B3:G28,MATCH(11,B4:B29,0),5)</f>
        <v>1438</v>
      </c>
      <c r="H14" s="10">
        <f>INDEX('6_długot.'!B3:G28,MATCH(11,B4:B29,0),6)</f>
        <v>-196</v>
      </c>
    </row>
    <row r="15" spans="2:8" x14ac:dyDescent="0.2">
      <c r="B15" s="10">
        <f>RANK('6_długot.'!C14,'6_długot.'!$C$3:'6_długot.'!$C$28,1)+COUNTIF('6_długot.'!$C$3:'6_długot.'!C14,'6_długot.'!C14)-1</f>
        <v>11</v>
      </c>
      <c r="C15" s="8" t="str">
        <f>INDEX('6_długot.'!B3:G28,MATCH(12,B4:B29,0),1)</f>
        <v>sanocki</v>
      </c>
      <c r="D15" s="10">
        <f>INDEX('6_długot.'!B3:G28,MATCH(12,B4:B29,0),2)</f>
        <v>1366</v>
      </c>
      <c r="E15" s="9">
        <f>INDEX('6_długot.'!B3:G28,MATCH(12,B4:B29,0),3)</f>
        <v>1355</v>
      </c>
      <c r="F15" s="10">
        <f>INDEX('6_długot.'!B3:G28,MATCH(12,B4:B29,0),4)</f>
        <v>11</v>
      </c>
      <c r="G15" s="9">
        <f>INDEX('6_długot.'!B3:G28,MATCH(12,B4:B29,0),5)</f>
        <v>1345</v>
      </c>
      <c r="H15" s="10">
        <f>INDEX('6_długot.'!B3:G28,MATCH(12,B4:B29,0),6)</f>
        <v>21</v>
      </c>
    </row>
    <row r="16" spans="2:8" x14ac:dyDescent="0.2">
      <c r="B16" s="10">
        <f>RANK('6_długot.'!C15,'6_długot.'!$C$3:'6_długot.'!$C$28,1)+COUNTIF('6_długot.'!$C$3:'6_długot.'!C15,'6_długot.'!C15)-1</f>
        <v>16</v>
      </c>
      <c r="C16" s="8" t="str">
        <f>INDEX('6_długot.'!B3:G28,MATCH(13,B4:B29,0),1)</f>
        <v>łańcucki</v>
      </c>
      <c r="D16" s="10">
        <f>INDEX('6_długot.'!B3:G28,MATCH(13,B4:B29,0),2)</f>
        <v>1424</v>
      </c>
      <c r="E16" s="9">
        <f>INDEX('6_długot.'!B3:G28,MATCH(13,B4:B29,0),3)</f>
        <v>1442</v>
      </c>
      <c r="F16" s="10">
        <f>INDEX('6_długot.'!B3:G28,MATCH(13,B4:B29,0),4)</f>
        <v>-18</v>
      </c>
      <c r="G16" s="9">
        <f>INDEX('6_długot.'!B3:G28,MATCH(13,B4:B29,0),5)</f>
        <v>2004</v>
      </c>
      <c r="H16" s="10">
        <f>INDEX('6_długot.'!B3:G28,MATCH(13,B4:B29,0),6)</f>
        <v>-580</v>
      </c>
    </row>
    <row r="17" spans="2:8" x14ac:dyDescent="0.2">
      <c r="B17" s="10">
        <f>RANK('6_długot.'!C16,'6_długot.'!$C$3:'6_długot.'!$C$28,1)+COUNTIF('6_długot.'!$C$3:'6_długot.'!C16,'6_długot.'!C16)-1</f>
        <v>17</v>
      </c>
      <c r="C17" s="8" t="str">
        <f>INDEX('6_długot.'!B3:G28,MATCH(14,B4:B29,0),1)</f>
        <v>ropczycko-sędziszowski</v>
      </c>
      <c r="D17" s="10">
        <f>INDEX('6_długot.'!B3:G28,MATCH(14,B4:B29,0),2)</f>
        <v>1536</v>
      </c>
      <c r="E17" s="9">
        <f>INDEX('6_długot.'!B3:G28,MATCH(14,B4:B29,0),3)</f>
        <v>1574</v>
      </c>
      <c r="F17" s="10">
        <f>INDEX('6_długot.'!B3:G28,MATCH(14,B4:B29,0),4)</f>
        <v>-38</v>
      </c>
      <c r="G17" s="9">
        <f>INDEX('6_długot.'!B3:G28,MATCH(14,B4:B29,0),5)</f>
        <v>1927</v>
      </c>
      <c r="H17" s="10">
        <f>INDEX('6_długot.'!B3:G28,MATCH(14,B4:B29,0),6)</f>
        <v>-391</v>
      </c>
    </row>
    <row r="18" spans="2:8" x14ac:dyDescent="0.2">
      <c r="B18" s="10">
        <f>RANK('6_długot.'!C17,'6_długot.'!$C$3:'6_długot.'!$C$28,1)+COUNTIF('6_długot.'!$C$3:'6_długot.'!C17,'6_długot.'!C17)-1</f>
        <v>20</v>
      </c>
      <c r="C18" s="8" t="str">
        <f>INDEX('6_długot.'!B3:G28,MATCH(15,B4:B29,0),1)</f>
        <v>Przemyśl</v>
      </c>
      <c r="D18" s="10">
        <f>INDEX('6_długot.'!B3:G28,MATCH(15,B4:B29,0),2)</f>
        <v>1632</v>
      </c>
      <c r="E18" s="9">
        <f>INDEX('6_długot.'!B3:G28,MATCH(15,B4:B29,0),3)</f>
        <v>1661</v>
      </c>
      <c r="F18" s="10">
        <f>INDEX('6_długot.'!B3:G28,MATCH(15,B4:B29,0),4)</f>
        <v>-29</v>
      </c>
      <c r="G18" s="9">
        <f>INDEX('6_długot.'!B3:G28,MATCH(15,B4:B29,0),5)</f>
        <v>1990</v>
      </c>
      <c r="H18" s="10">
        <f>INDEX('6_długot.'!B3:G28,MATCH(15,B4:B29,0),6)</f>
        <v>-358</v>
      </c>
    </row>
    <row r="19" spans="2:8" x14ac:dyDescent="0.2">
      <c r="B19" s="10">
        <f>RANK('6_długot.'!C18,'6_długot.'!$C$3:'6_długot.'!$C$28,1)+COUNTIF('6_długot.'!$C$3:'6_długot.'!C18,'6_długot.'!C18)-1</f>
        <v>14</v>
      </c>
      <c r="C19" s="8" t="str">
        <f>INDEX('6_długot.'!B3:G28,MATCH(16,B4:B29,0),1)</f>
        <v>niżański</v>
      </c>
      <c r="D19" s="10">
        <f>INDEX('6_długot.'!B3:G28,MATCH(16,B4:B29,0),2)</f>
        <v>1820</v>
      </c>
      <c r="E19" s="9">
        <f>INDEX('6_długot.'!B3:G28,MATCH(16,B4:B29,0),3)</f>
        <v>1815</v>
      </c>
      <c r="F19" s="10">
        <f>INDEX('6_długot.'!B3:G28,MATCH(16,B4:B29,0),4)</f>
        <v>5</v>
      </c>
      <c r="G19" s="9">
        <f>INDEX('6_długot.'!B3:G28,MATCH(16,B4:B29,0),5)</f>
        <v>2110</v>
      </c>
      <c r="H19" s="10">
        <f>INDEX('6_długot.'!B3:G28,MATCH(16,B4:B29,0),6)</f>
        <v>-290</v>
      </c>
    </row>
    <row r="20" spans="2:8" x14ac:dyDescent="0.2">
      <c r="B20" s="10">
        <f>RANK('6_długot.'!C19,'6_długot.'!$C$3:'6_długot.'!$C$28,1)+COUNTIF('6_długot.'!$C$3:'6_długot.'!C19,'6_długot.'!C19)-1</f>
        <v>23</v>
      </c>
      <c r="C20" s="8" t="str">
        <f>INDEX('6_długot.'!B3:G28,MATCH(17,B4:B29,0),1)</f>
        <v>przemyski</v>
      </c>
      <c r="D20" s="10">
        <f>INDEX('6_długot.'!B3:G28,MATCH(17,B4:B29,0),2)</f>
        <v>1926</v>
      </c>
      <c r="E20" s="9">
        <f>INDEX('6_długot.'!B3:G28,MATCH(17,B4:B29,0),3)</f>
        <v>1968</v>
      </c>
      <c r="F20" s="10">
        <f>INDEX('6_długot.'!B3:G28,MATCH(17,B4:B29,0),4)</f>
        <v>-42</v>
      </c>
      <c r="G20" s="9">
        <f>INDEX('6_długot.'!B3:G28,MATCH(17,B4:B29,0),5)</f>
        <v>2281</v>
      </c>
      <c r="H20" s="10">
        <f>INDEX('6_długot.'!B3:G28,MATCH(17,B4:B29,0),6)</f>
        <v>-355</v>
      </c>
    </row>
    <row r="21" spans="2:8" x14ac:dyDescent="0.2">
      <c r="B21" s="10">
        <f>RANK('6_długot.'!C20,'6_długot.'!$C$3:'6_długot.'!$C$28,1)+COUNTIF('6_długot.'!$C$3:'6_długot.'!C20,'6_długot.'!C20)-1</f>
        <v>12</v>
      </c>
      <c r="C21" s="8" t="str">
        <f>INDEX('6_długot.'!B3:G28,MATCH(18,B4:B29,0),1)</f>
        <v>leżajski</v>
      </c>
      <c r="D21" s="10">
        <f>INDEX('6_długot.'!B3:G28,MATCH(18,B4:B29,0),2)</f>
        <v>1979</v>
      </c>
      <c r="E21" s="9">
        <f>INDEX('6_długot.'!B3:G28,MATCH(18,B4:B29,0),3)</f>
        <v>1969</v>
      </c>
      <c r="F21" s="10">
        <f>INDEX('6_długot.'!B3:G28,MATCH(18,B4:B29,0),4)</f>
        <v>10</v>
      </c>
      <c r="G21" s="9">
        <f>INDEX('6_długot.'!B3:G28,MATCH(18,B4:B29,0),5)</f>
        <v>2302</v>
      </c>
      <c r="H21" s="10">
        <f>INDEX('6_długot.'!B3:G28,MATCH(18,B4:B29,0),6)</f>
        <v>-323</v>
      </c>
    </row>
    <row r="22" spans="2:8" x14ac:dyDescent="0.2">
      <c r="B22" s="10">
        <f>RANK('6_długot.'!C21,'6_długot.'!$C$3:'6_długot.'!$C$28,1)+COUNTIF('6_długot.'!$C$3:'6_długot.'!C21,'6_długot.'!C21)-1</f>
        <v>5</v>
      </c>
      <c r="C22" s="8" t="str">
        <f>INDEX('6_długot.'!B3:G28,MATCH(19,B4:B29,0),1)</f>
        <v>strzyżowski</v>
      </c>
      <c r="D22" s="10">
        <f>INDEX('6_długot.'!B3:G28,MATCH(19,B4:B29,0),2)</f>
        <v>2087</v>
      </c>
      <c r="E22" s="9">
        <f>INDEX('6_długot.'!B3:G28,MATCH(19,B4:B29,0),3)</f>
        <v>2129</v>
      </c>
      <c r="F22" s="10">
        <f>INDEX('6_długot.'!B3:G28,MATCH(19,B4:B29,0),4)</f>
        <v>-42</v>
      </c>
      <c r="G22" s="9">
        <f>INDEX('6_długot.'!B3:G28,MATCH(19,B4:B29,0),5)</f>
        <v>2371</v>
      </c>
      <c r="H22" s="10">
        <f>INDEX('6_długot.'!B3:G28,MATCH(19,B4:B29,0),6)</f>
        <v>-284</v>
      </c>
    </row>
    <row r="23" spans="2:8" x14ac:dyDescent="0.2">
      <c r="B23" s="10">
        <f>RANK('6_długot.'!C22,'6_długot.'!$C$3:'6_długot.'!$C$28,1)+COUNTIF('6_długot.'!$C$3:'6_długot.'!C22,'6_długot.'!C22)-1</f>
        <v>19</v>
      </c>
      <c r="C23" s="8" t="str">
        <f>INDEX('6_długot.'!B3:G28,MATCH(20,B4:B29,0),1)</f>
        <v>przeworski</v>
      </c>
      <c r="D23" s="10">
        <f>INDEX('6_długot.'!B3:G28,MATCH(20,B4:B29,0),2)</f>
        <v>2207</v>
      </c>
      <c r="E23" s="9">
        <f>INDEX('6_długot.'!B3:G28,MATCH(20,B4:B29,0),3)</f>
        <v>2240</v>
      </c>
      <c r="F23" s="10">
        <f>INDEX('6_długot.'!B3:G28,MATCH(20,B4:B29,0),4)</f>
        <v>-33</v>
      </c>
      <c r="G23" s="9">
        <f>INDEX('6_długot.'!B3:G28,MATCH(20,B4:B29,0),5)</f>
        <v>2453</v>
      </c>
      <c r="H23" s="10">
        <f>INDEX('6_długot.'!B3:G28,MATCH(20,B4:B29,0),6)</f>
        <v>-246</v>
      </c>
    </row>
    <row r="24" spans="2:8" x14ac:dyDescent="0.2">
      <c r="B24" s="10">
        <f>RANK('6_długot.'!C23,'6_długot.'!$C$3:'6_długot.'!$C$28,1)+COUNTIF('6_długot.'!$C$3:'6_długot.'!C23,'6_długot.'!C23)-1</f>
        <v>4</v>
      </c>
      <c r="C24" s="8" t="str">
        <f>INDEX('6_długot.'!B3:G28,MATCH(21,B4:B29,0),1)</f>
        <v>brzozowski</v>
      </c>
      <c r="D24" s="10">
        <f>INDEX('6_długot.'!B3:G28,MATCH(21,B4:B29,0),2)</f>
        <v>2642</v>
      </c>
      <c r="E24" s="9">
        <f>INDEX('6_długot.'!B3:G28,MATCH(21,B4:B29,0),3)</f>
        <v>2631</v>
      </c>
      <c r="F24" s="10">
        <f>INDEX('6_długot.'!B3:G28,MATCH(21,B4:B29,0),4)</f>
        <v>11</v>
      </c>
      <c r="G24" s="9">
        <f>INDEX('6_długot.'!B3:G28,MATCH(21,B4:B29,0),5)</f>
        <v>2771</v>
      </c>
      <c r="H24" s="10">
        <f>INDEX('6_długot.'!B3:G28,MATCH(21,B4:B29,0),6)</f>
        <v>-129</v>
      </c>
    </row>
    <row r="25" spans="2:8" x14ac:dyDescent="0.2">
      <c r="B25" s="10">
        <f>RANK('6_długot.'!C24,'6_długot.'!$C$3:'6_długot.'!$C$28,1)+COUNTIF('6_długot.'!$C$3:'6_długot.'!C24,'6_długot.'!C24)-1</f>
        <v>1</v>
      </c>
      <c r="C25" s="8" t="str">
        <f>INDEX('6_długot.'!B3:G28,MATCH(22,B4:B29,0),1)</f>
        <v>jarosławski</v>
      </c>
      <c r="D25" s="10">
        <f>INDEX('6_długot.'!B3:G28,MATCH(22,B4:B29,0),2)</f>
        <v>2825</v>
      </c>
      <c r="E25" s="9">
        <f>INDEX('6_długot.'!B3:G28,MATCH(22,B4:B29,0),3)</f>
        <v>2849</v>
      </c>
      <c r="F25" s="10">
        <f>INDEX('6_długot.'!B3:G28,MATCH(22,B4:B29,0),4)</f>
        <v>-24</v>
      </c>
      <c r="G25" s="9">
        <f>INDEX('6_długot.'!B3:G28,MATCH(22,B4:B29,0),5)</f>
        <v>3362</v>
      </c>
      <c r="H25" s="10">
        <f>INDEX('6_długot.'!B3:G28,MATCH(22,B4:B29,0),6)</f>
        <v>-537</v>
      </c>
    </row>
    <row r="26" spans="2:8" x14ac:dyDescent="0.2">
      <c r="B26" s="10">
        <f>RANK('6_długot.'!C25,'6_długot.'!$C$3:'6_długot.'!$C$28,1)+COUNTIF('6_długot.'!$C$3:'6_długot.'!C25,'6_długot.'!C25)-1</f>
        <v>15</v>
      </c>
      <c r="C26" s="8" t="str">
        <f>INDEX('6_długot.'!B3:G28,MATCH(23,B4:B29,0),1)</f>
        <v>rzeszowski</v>
      </c>
      <c r="D26" s="10">
        <f>INDEX('6_długot.'!B3:G28,MATCH(23,B4:B29,0),2)</f>
        <v>2954</v>
      </c>
      <c r="E26" s="9">
        <f>INDEX('6_długot.'!B3:G28,MATCH(23,B4:B29,0),3)</f>
        <v>3014</v>
      </c>
      <c r="F26" s="10">
        <f>INDEX('6_długot.'!B3:G28,MATCH(23,B4:B29,0),4)</f>
        <v>-60</v>
      </c>
      <c r="G26" s="9">
        <f>INDEX('6_długot.'!B3:G28,MATCH(23,B4:B29,0),5)</f>
        <v>3536</v>
      </c>
      <c r="H26" s="10">
        <f>INDEX('6_długot.'!B3:G28,MATCH(23,B4:B29,0),6)</f>
        <v>-582</v>
      </c>
    </row>
    <row r="27" spans="2:8" x14ac:dyDescent="0.2">
      <c r="B27" s="10">
        <f>RANK('6_długot.'!C26,'6_długot.'!$C$3:'6_długot.'!$C$28,1)+COUNTIF('6_długot.'!$C$3:'6_długot.'!C26,'6_długot.'!C26)-1</f>
        <v>25</v>
      </c>
      <c r="C27" s="8" t="str">
        <f>INDEX('6_długot.'!B3:G28,MATCH(24,B4:B29,0),1)</f>
        <v>jasielski</v>
      </c>
      <c r="D27" s="10">
        <f>INDEX('6_długot.'!B3:G28,MATCH(24,B4:B29,0),2)</f>
        <v>3100</v>
      </c>
      <c r="E27" s="9">
        <f>INDEX('6_długot.'!B3:G28,MATCH(24,B4:B29,0),3)</f>
        <v>3072</v>
      </c>
      <c r="F27" s="10">
        <f>INDEX('6_długot.'!B3:G28,MATCH(24,B4:B29,0),4)</f>
        <v>28</v>
      </c>
      <c r="G27" s="9">
        <f>INDEX('6_długot.'!B3:G28,MATCH(24,B4:B29,0),5)</f>
        <v>3577</v>
      </c>
      <c r="H27" s="10">
        <f>INDEX('6_długot.'!B3:G28,MATCH(24,B4:B29,0),6)</f>
        <v>-477</v>
      </c>
    </row>
    <row r="28" spans="2:8" x14ac:dyDescent="0.2">
      <c r="B28" s="10">
        <f>RANK('6_długot.'!C27,'6_długot.'!$C$3:'6_długot.'!$C$28,1)+COUNTIF('6_długot.'!$C$3:'6_długot.'!C27,'6_długot.'!C27)-1</f>
        <v>2</v>
      </c>
      <c r="C28" s="8" t="str">
        <f>INDEX('6_długot.'!B3:G28,MATCH(25,B4:B29,0),1)</f>
        <v>Rzeszów</v>
      </c>
      <c r="D28" s="10">
        <f>INDEX('6_długot.'!B3:G28,MATCH(25,B4:B29,0),2)</f>
        <v>3369</v>
      </c>
      <c r="E28" s="9">
        <f>INDEX('6_długot.'!B3:G28,MATCH(25,B4:B29,0),3)</f>
        <v>3398</v>
      </c>
      <c r="F28" s="10">
        <f>INDEX('6_długot.'!B3:G28,MATCH(25,B4:B29,0),4)</f>
        <v>-29</v>
      </c>
      <c r="G28" s="9">
        <f>INDEX('6_długot.'!B3:G28,MATCH(25,B4:B29,0),5)</f>
        <v>4150</v>
      </c>
      <c r="H28" s="10">
        <f>INDEX('6_długot.'!B3:G28,MATCH(25,B4:B29,0),6)</f>
        <v>-781</v>
      </c>
    </row>
    <row r="29" spans="2:8" ht="15" x14ac:dyDescent="0.25">
      <c r="B29" s="34">
        <f>RANK('6_długot.'!C28,'6_długot.'!$C$3:'6_długot.'!$C$28,1)+COUNTIF('6_długot.'!$C$3:'6_długot.'!C28,'6_długot.'!C28)-1</f>
        <v>26</v>
      </c>
      <c r="C29" s="35" t="str">
        <f>INDEX('6_długot.'!B3:G28,MATCH(26,B4:B29,0),1)</f>
        <v>województwo</v>
      </c>
      <c r="D29" s="34">
        <f>INDEX('6_długot.'!B3:G28,MATCH(26,B4:B29,0),2)</f>
        <v>40224</v>
      </c>
      <c r="E29" s="17">
        <f>INDEX('6_długot.'!B3:G28,MATCH(26,B4:B29,0),3)</f>
        <v>40520</v>
      </c>
      <c r="F29" s="34">
        <f>INDEX('6_długot.'!B3:G28,MATCH(26,B4:B29,0),4)</f>
        <v>-296</v>
      </c>
      <c r="G29" s="17">
        <f>INDEX('6_długot.'!B3:G28,MATCH(26,B4:B29,0),5)</f>
        <v>47045</v>
      </c>
      <c r="H29" s="34">
        <f>INDEX('6_długot.'!B3:G28,MATCH(26,B4:B29,0),6)</f>
        <v>-6821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 tint="0.59999389629810485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42578125" style="3" customWidth="1"/>
    <col min="2" max="2" width="25.5703125" style="3" customWidth="1"/>
    <col min="3" max="3" width="15.42578125" style="3" customWidth="1"/>
    <col min="4" max="4" width="15.28515625" style="3" customWidth="1"/>
    <col min="5" max="5" width="16.28515625" style="3" customWidth="1"/>
    <col min="6" max="6" width="15" style="3" customWidth="1"/>
    <col min="7" max="7" width="17.85546875" style="3" customWidth="1"/>
    <col min="8" max="16384" width="9.140625" style="3"/>
  </cols>
  <sheetData>
    <row r="1" spans="2:8" ht="20.25" customHeight="1" x14ac:dyDescent="0.2">
      <c r="B1" s="1" t="s">
        <v>96</v>
      </c>
      <c r="C1" s="72"/>
      <c r="D1" s="72"/>
      <c r="E1" s="72"/>
      <c r="F1" s="72"/>
      <c r="G1" s="72"/>
    </row>
    <row r="2" spans="2:8" ht="57" x14ac:dyDescent="0.2">
      <c r="B2" s="5" t="s">
        <v>27</v>
      </c>
      <c r="C2" s="6" t="s">
        <v>125</v>
      </c>
      <c r="D2" s="7" t="s">
        <v>107</v>
      </c>
      <c r="E2" s="6" t="s">
        <v>28</v>
      </c>
      <c r="F2" s="7" t="s">
        <v>124</v>
      </c>
      <c r="G2" s="6" t="s">
        <v>26</v>
      </c>
    </row>
    <row r="3" spans="2:8" x14ac:dyDescent="0.2">
      <c r="B3" s="8" t="s">
        <v>0</v>
      </c>
      <c r="C3" s="73">
        <v>321</v>
      </c>
      <c r="D3" s="9">
        <v>327</v>
      </c>
      <c r="E3" s="73">
        <f t="shared" ref="E3:E27" si="0">SUM(C3)-D3</f>
        <v>-6</v>
      </c>
      <c r="F3" s="9">
        <v>339</v>
      </c>
      <c r="G3" s="73">
        <f t="shared" ref="G3:G27" si="1">SUM(C3)-F3</f>
        <v>-18</v>
      </c>
      <c r="H3" s="11"/>
    </row>
    <row r="4" spans="2:8" x14ac:dyDescent="0.2">
      <c r="B4" s="8" t="s">
        <v>1</v>
      </c>
      <c r="C4" s="73">
        <v>1058</v>
      </c>
      <c r="D4" s="9">
        <v>1057</v>
      </c>
      <c r="E4" s="73">
        <f t="shared" si="0"/>
        <v>1</v>
      </c>
      <c r="F4" s="9">
        <v>1124</v>
      </c>
      <c r="G4" s="73">
        <f t="shared" si="1"/>
        <v>-66</v>
      </c>
      <c r="H4" s="11"/>
    </row>
    <row r="5" spans="2:8" x14ac:dyDescent="0.2">
      <c r="B5" s="8" t="s">
        <v>2</v>
      </c>
      <c r="C5" s="73">
        <v>807</v>
      </c>
      <c r="D5" s="9">
        <v>782</v>
      </c>
      <c r="E5" s="73">
        <f t="shared" si="0"/>
        <v>25</v>
      </c>
      <c r="F5" s="9">
        <v>797</v>
      </c>
      <c r="G5" s="73">
        <f t="shared" si="1"/>
        <v>10</v>
      </c>
      <c r="H5" s="11"/>
    </row>
    <row r="6" spans="2:8" x14ac:dyDescent="0.2">
      <c r="B6" s="8" t="s">
        <v>3</v>
      </c>
      <c r="C6" s="73">
        <v>1324</v>
      </c>
      <c r="D6" s="9">
        <v>1332</v>
      </c>
      <c r="E6" s="73">
        <f t="shared" si="0"/>
        <v>-8</v>
      </c>
      <c r="F6" s="9">
        <v>1499</v>
      </c>
      <c r="G6" s="73">
        <f t="shared" si="1"/>
        <v>-175</v>
      </c>
      <c r="H6" s="11"/>
    </row>
    <row r="7" spans="2:8" x14ac:dyDescent="0.2">
      <c r="B7" s="8" t="s">
        <v>4</v>
      </c>
      <c r="C7" s="73">
        <v>1340</v>
      </c>
      <c r="D7" s="9">
        <v>1360</v>
      </c>
      <c r="E7" s="73">
        <f t="shared" si="0"/>
        <v>-20</v>
      </c>
      <c r="F7" s="9">
        <v>1378</v>
      </c>
      <c r="G7" s="73">
        <f t="shared" si="1"/>
        <v>-38</v>
      </c>
      <c r="H7" s="11"/>
    </row>
    <row r="8" spans="2:8" x14ac:dyDescent="0.2">
      <c r="B8" s="8" t="s">
        <v>5</v>
      </c>
      <c r="C8" s="73">
        <v>506</v>
      </c>
      <c r="D8" s="9">
        <v>488</v>
      </c>
      <c r="E8" s="73">
        <f t="shared" si="0"/>
        <v>18</v>
      </c>
      <c r="F8" s="9">
        <v>523</v>
      </c>
      <c r="G8" s="73">
        <f t="shared" si="1"/>
        <v>-17</v>
      </c>
      <c r="H8" s="11"/>
    </row>
    <row r="9" spans="2:8" x14ac:dyDescent="0.2">
      <c r="B9" s="13" t="s">
        <v>6</v>
      </c>
      <c r="C9" s="73">
        <v>586</v>
      </c>
      <c r="D9" s="9">
        <v>552</v>
      </c>
      <c r="E9" s="73">
        <f t="shared" si="0"/>
        <v>34</v>
      </c>
      <c r="F9" s="9">
        <v>487</v>
      </c>
      <c r="G9" s="73">
        <f t="shared" si="1"/>
        <v>99</v>
      </c>
      <c r="H9" s="11"/>
    </row>
    <row r="10" spans="2:8" x14ac:dyDescent="0.2">
      <c r="B10" s="8" t="s">
        <v>7</v>
      </c>
      <c r="C10" s="73">
        <v>478</v>
      </c>
      <c r="D10" s="9">
        <v>470</v>
      </c>
      <c r="E10" s="73">
        <f t="shared" si="0"/>
        <v>8</v>
      </c>
      <c r="F10" s="9">
        <v>475</v>
      </c>
      <c r="G10" s="73">
        <f t="shared" si="1"/>
        <v>3</v>
      </c>
      <c r="H10" s="11"/>
    </row>
    <row r="11" spans="2:8" x14ac:dyDescent="0.2">
      <c r="B11" s="8" t="s">
        <v>8</v>
      </c>
      <c r="C11" s="73">
        <v>941</v>
      </c>
      <c r="D11" s="9">
        <v>983</v>
      </c>
      <c r="E11" s="73">
        <f t="shared" si="0"/>
        <v>-42</v>
      </c>
      <c r="F11" s="9">
        <v>1090</v>
      </c>
      <c r="G11" s="73">
        <f t="shared" si="1"/>
        <v>-149</v>
      </c>
      <c r="H11" s="11"/>
    </row>
    <row r="12" spans="2:8" x14ac:dyDescent="0.2">
      <c r="B12" s="8" t="s">
        <v>9</v>
      </c>
      <c r="C12" s="73">
        <v>563</v>
      </c>
      <c r="D12" s="9">
        <v>586</v>
      </c>
      <c r="E12" s="73">
        <f t="shared" si="0"/>
        <v>-23</v>
      </c>
      <c r="F12" s="9">
        <v>601</v>
      </c>
      <c r="G12" s="73">
        <f t="shared" si="1"/>
        <v>-38</v>
      </c>
      <c r="H12" s="11"/>
    </row>
    <row r="13" spans="2:8" x14ac:dyDescent="0.2">
      <c r="B13" s="8" t="s">
        <v>10</v>
      </c>
      <c r="C13" s="73">
        <v>832</v>
      </c>
      <c r="D13" s="9">
        <v>813</v>
      </c>
      <c r="E13" s="73">
        <f t="shared" si="0"/>
        <v>19</v>
      </c>
      <c r="F13" s="9">
        <v>931</v>
      </c>
      <c r="G13" s="73">
        <f t="shared" si="1"/>
        <v>-99</v>
      </c>
      <c r="H13" s="11"/>
    </row>
    <row r="14" spans="2:8" x14ac:dyDescent="0.2">
      <c r="B14" s="8" t="s">
        <v>11</v>
      </c>
      <c r="C14" s="73">
        <v>734</v>
      </c>
      <c r="D14" s="9">
        <v>728</v>
      </c>
      <c r="E14" s="73">
        <f t="shared" si="0"/>
        <v>6</v>
      </c>
      <c r="F14" s="9">
        <v>726</v>
      </c>
      <c r="G14" s="73">
        <f t="shared" si="1"/>
        <v>8</v>
      </c>
      <c r="H14" s="11"/>
    </row>
    <row r="15" spans="2:8" x14ac:dyDescent="0.2">
      <c r="B15" s="8" t="s">
        <v>12</v>
      </c>
      <c r="C15" s="73">
        <v>883</v>
      </c>
      <c r="D15" s="9">
        <v>953</v>
      </c>
      <c r="E15" s="73">
        <f t="shared" si="0"/>
        <v>-70</v>
      </c>
      <c r="F15" s="9">
        <v>949</v>
      </c>
      <c r="G15" s="73">
        <f t="shared" si="1"/>
        <v>-66</v>
      </c>
      <c r="H15" s="11"/>
    </row>
    <row r="16" spans="2:8" x14ac:dyDescent="0.2">
      <c r="B16" s="8" t="s">
        <v>13</v>
      </c>
      <c r="C16" s="73">
        <v>851</v>
      </c>
      <c r="D16" s="9">
        <v>883</v>
      </c>
      <c r="E16" s="73">
        <f t="shared" si="0"/>
        <v>-32</v>
      </c>
      <c r="F16" s="9">
        <v>1071</v>
      </c>
      <c r="G16" s="73">
        <f t="shared" si="1"/>
        <v>-220</v>
      </c>
      <c r="H16" s="11"/>
    </row>
    <row r="17" spans="2:8" x14ac:dyDescent="0.2">
      <c r="B17" s="8" t="s">
        <v>14</v>
      </c>
      <c r="C17" s="73">
        <v>1000</v>
      </c>
      <c r="D17" s="9">
        <v>1062</v>
      </c>
      <c r="E17" s="73">
        <f t="shared" si="0"/>
        <v>-62</v>
      </c>
      <c r="F17" s="9">
        <v>1077</v>
      </c>
      <c r="G17" s="73">
        <f t="shared" si="1"/>
        <v>-77</v>
      </c>
      <c r="H17" s="11"/>
    </row>
    <row r="18" spans="2:8" x14ac:dyDescent="0.2">
      <c r="B18" s="8" t="s">
        <v>15</v>
      </c>
      <c r="C18" s="73">
        <v>797</v>
      </c>
      <c r="D18" s="9">
        <v>812</v>
      </c>
      <c r="E18" s="73">
        <f t="shared" si="0"/>
        <v>-15</v>
      </c>
      <c r="F18" s="9">
        <v>969</v>
      </c>
      <c r="G18" s="73">
        <f t="shared" si="1"/>
        <v>-172</v>
      </c>
      <c r="H18" s="11"/>
    </row>
    <row r="19" spans="2:8" x14ac:dyDescent="0.2">
      <c r="B19" s="8" t="s">
        <v>16</v>
      </c>
      <c r="C19" s="73">
        <v>1317</v>
      </c>
      <c r="D19" s="9">
        <v>1331</v>
      </c>
      <c r="E19" s="73">
        <f t="shared" si="0"/>
        <v>-14</v>
      </c>
      <c r="F19" s="9">
        <v>1595</v>
      </c>
      <c r="G19" s="73">
        <f t="shared" si="1"/>
        <v>-278</v>
      </c>
      <c r="H19" s="11"/>
    </row>
    <row r="20" spans="2:8" x14ac:dyDescent="0.2">
      <c r="B20" s="8" t="s">
        <v>17</v>
      </c>
      <c r="C20" s="73">
        <v>794</v>
      </c>
      <c r="D20" s="9">
        <v>784</v>
      </c>
      <c r="E20" s="73">
        <f t="shared" si="0"/>
        <v>10</v>
      </c>
      <c r="F20" s="9">
        <v>739</v>
      </c>
      <c r="G20" s="73">
        <f t="shared" si="1"/>
        <v>55</v>
      </c>
      <c r="H20" s="11"/>
    </row>
    <row r="21" spans="2:8" x14ac:dyDescent="0.2">
      <c r="B21" s="8" t="s">
        <v>18</v>
      </c>
      <c r="C21" s="73">
        <v>528</v>
      </c>
      <c r="D21" s="9">
        <v>538</v>
      </c>
      <c r="E21" s="73">
        <f t="shared" si="0"/>
        <v>-10</v>
      </c>
      <c r="F21" s="9">
        <v>608</v>
      </c>
      <c r="G21" s="73">
        <f t="shared" si="1"/>
        <v>-80</v>
      </c>
      <c r="H21" s="11"/>
    </row>
    <row r="22" spans="2:8" x14ac:dyDescent="0.2">
      <c r="B22" s="8" t="s">
        <v>19</v>
      </c>
      <c r="C22" s="73">
        <v>947</v>
      </c>
      <c r="D22" s="9">
        <v>996</v>
      </c>
      <c r="E22" s="73">
        <f t="shared" si="0"/>
        <v>-49</v>
      </c>
      <c r="F22" s="9">
        <v>1001</v>
      </c>
      <c r="G22" s="73">
        <f t="shared" si="1"/>
        <v>-54</v>
      </c>
      <c r="H22" s="11"/>
    </row>
    <row r="23" spans="2:8" x14ac:dyDescent="0.2">
      <c r="B23" s="8" t="s">
        <v>20</v>
      </c>
      <c r="C23" s="73">
        <v>364</v>
      </c>
      <c r="D23" s="9">
        <v>346</v>
      </c>
      <c r="E23" s="73">
        <f t="shared" si="0"/>
        <v>18</v>
      </c>
      <c r="F23" s="9">
        <v>445</v>
      </c>
      <c r="G23" s="73">
        <f t="shared" si="1"/>
        <v>-81</v>
      </c>
      <c r="H23" s="11"/>
    </row>
    <row r="24" spans="2:8" x14ac:dyDescent="0.2">
      <c r="B24" s="8" t="s">
        <v>21</v>
      </c>
      <c r="C24" s="73">
        <v>152</v>
      </c>
      <c r="D24" s="9">
        <v>146</v>
      </c>
      <c r="E24" s="73">
        <f t="shared" si="0"/>
        <v>6</v>
      </c>
      <c r="F24" s="9">
        <v>145</v>
      </c>
      <c r="G24" s="73">
        <f t="shared" si="1"/>
        <v>7</v>
      </c>
      <c r="H24" s="11"/>
    </row>
    <row r="25" spans="2:8" x14ac:dyDescent="0.2">
      <c r="B25" s="8" t="s">
        <v>22</v>
      </c>
      <c r="C25" s="73">
        <v>459</v>
      </c>
      <c r="D25" s="9">
        <v>465</v>
      </c>
      <c r="E25" s="73">
        <f t="shared" si="0"/>
        <v>-6</v>
      </c>
      <c r="F25" s="9">
        <v>542</v>
      </c>
      <c r="G25" s="73">
        <f t="shared" si="1"/>
        <v>-83</v>
      </c>
      <c r="H25" s="11"/>
    </row>
    <row r="26" spans="2:8" x14ac:dyDescent="0.2">
      <c r="B26" s="8" t="s">
        <v>23</v>
      </c>
      <c r="C26" s="73">
        <v>1000</v>
      </c>
      <c r="D26" s="9">
        <v>1024</v>
      </c>
      <c r="E26" s="73">
        <f t="shared" si="0"/>
        <v>-24</v>
      </c>
      <c r="F26" s="9">
        <v>1179</v>
      </c>
      <c r="G26" s="73">
        <f t="shared" si="1"/>
        <v>-179</v>
      </c>
      <c r="H26" s="11"/>
    </row>
    <row r="27" spans="2:8" x14ac:dyDescent="0.2">
      <c r="B27" s="8" t="s">
        <v>24</v>
      </c>
      <c r="C27" s="73">
        <v>218</v>
      </c>
      <c r="D27" s="9">
        <v>220</v>
      </c>
      <c r="E27" s="73">
        <f t="shared" si="0"/>
        <v>-2</v>
      </c>
      <c r="F27" s="9">
        <v>260</v>
      </c>
      <c r="G27" s="73">
        <f t="shared" si="1"/>
        <v>-42</v>
      </c>
      <c r="H27" s="11"/>
    </row>
    <row r="28" spans="2:8" ht="15" x14ac:dyDescent="0.25">
      <c r="B28" s="15" t="s">
        <v>25</v>
      </c>
      <c r="C28" s="74">
        <f>SUM(C3:C27)</f>
        <v>18800</v>
      </c>
      <c r="D28" s="17">
        <f>SUM(D3:D27)</f>
        <v>19038</v>
      </c>
      <c r="E28" s="74">
        <f>SUM(E3:E27)</f>
        <v>-238</v>
      </c>
      <c r="F28" s="17">
        <f>SUM(F3:F27)</f>
        <v>20550</v>
      </c>
      <c r="G28" s="74">
        <f>SUM(G3:G27)</f>
        <v>-1750</v>
      </c>
      <c r="H28" s="11"/>
    </row>
    <row r="29" spans="2:8" x14ac:dyDescent="0.2">
      <c r="E29" s="30"/>
      <c r="F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6.5703125" style="3" customWidth="1"/>
    <col min="3" max="3" width="23.85546875" style="3" customWidth="1"/>
    <col min="4" max="4" width="14" style="3" customWidth="1"/>
    <col min="5" max="5" width="13.5703125" style="3" customWidth="1"/>
    <col min="6" max="6" width="15.85546875" style="3" customWidth="1"/>
    <col min="7" max="7" width="14.28515625" style="3" customWidth="1"/>
    <col min="8" max="8" width="17.5703125" style="3" customWidth="1"/>
    <col min="9" max="9" width="5.5703125" style="3" customWidth="1"/>
    <col min="10" max="10" width="7.5703125" style="3" customWidth="1"/>
    <col min="11" max="18" width="9.140625" style="3"/>
    <col min="19" max="19" width="6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83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T('7_do 30 r.ż.'!B2)</f>
        <v>powiaty</v>
      </c>
      <c r="D3" s="5" t="str">
        <f>T('7_do 30 r.ż.'!C2)</f>
        <v>liczba bezrobotnych do 30 r. ż. stan na 28 II '23 r.</v>
      </c>
      <c r="E3" s="5" t="str">
        <f>T('7_do 30 r.ż.'!D2)</f>
        <v>liczba bezrobotnych do 30 r. ż. stan na 31 I '23 r.</v>
      </c>
      <c r="F3" s="5" t="str">
        <f>T('7_do 30 r.ż.'!E2)</f>
        <v>wzrost/spadek do poprzedniego  miesiąca</v>
      </c>
      <c r="G3" s="5" t="str">
        <f>T('7_do 30 r.ż.'!F2)</f>
        <v>liczba bezrobotnych do 30 r. ż. stan na 28 II '22 r.</v>
      </c>
      <c r="H3" s="5" t="str">
        <f>T('7_do 30 r.ż.'!G2)</f>
        <v>wzrost/spadek do analogicznego okresu ubr.</v>
      </c>
    </row>
    <row r="4" spans="2:8" x14ac:dyDescent="0.2">
      <c r="B4" s="10">
        <f>RANK('7_do 30 r.ż.'!C3,'7_do 30 r.ż.'!$C$3:'7_do 30 r.ż.'!$C$28,1)+COUNTIF('7_do 30 r.ż.'!$C$3:'7_do 30 r.ż.'!C3,'7_do 30 r.ż.'!C3)-1</f>
        <v>3</v>
      </c>
      <c r="C4" s="8" t="str">
        <f>INDEX('7_do 30 r.ż.'!B3:G28,MATCH(1,B4:B29,0),1)</f>
        <v>Krosno</v>
      </c>
      <c r="D4" s="39">
        <f>INDEX('7_do 30 r.ż.'!B3:G28,MATCH(1,B4:B29,0),2)</f>
        <v>152</v>
      </c>
      <c r="E4" s="9">
        <f>INDEX('7_do 30 r.ż.'!B3:G28,MATCH(1,B4:B29,0),3)</f>
        <v>146</v>
      </c>
      <c r="F4" s="10">
        <f>INDEX('7_do 30 r.ż.'!B3:G28,MATCH(1,B4:B29,0),4)</f>
        <v>6</v>
      </c>
      <c r="G4" s="9">
        <f>INDEX('7_do 30 r.ż.'!B3:G28,MATCH(1,B4:B29,0),5)</f>
        <v>145</v>
      </c>
      <c r="H4" s="10">
        <f>INDEX('7_do 30 r.ż.'!B3:G28,MATCH(1,B4:B29,0),6)</f>
        <v>7</v>
      </c>
    </row>
    <row r="5" spans="2:8" x14ac:dyDescent="0.2">
      <c r="B5" s="10">
        <f>RANK('7_do 30 r.ż.'!C4,'7_do 30 r.ż.'!$C$3:'7_do 30 r.ż.'!$C$28,1)+COUNTIF('7_do 30 r.ż.'!$C$3:'7_do 30 r.ż.'!C4,'7_do 30 r.ż.'!C4)-1</f>
        <v>22</v>
      </c>
      <c r="C5" s="8" t="str">
        <f>INDEX('7_do 30 r.ż.'!B3:G28,MATCH(2,B4:B29,0),1)</f>
        <v>Tarnobrzeg</v>
      </c>
      <c r="D5" s="10">
        <f>INDEX('7_do 30 r.ż.'!B3:G28,MATCH(2,B4:B29,0),2)</f>
        <v>218</v>
      </c>
      <c r="E5" s="9">
        <f>INDEX('7_do 30 r.ż.'!B3:G28,MATCH(2,B4:B29,0),3)</f>
        <v>220</v>
      </c>
      <c r="F5" s="10">
        <f>INDEX('7_do 30 r.ż.'!B3:G28,MATCH(2,B4:B29,0),4)</f>
        <v>-2</v>
      </c>
      <c r="G5" s="9">
        <f>INDEX('7_do 30 r.ż.'!B3:G28,MATCH(2,B4:B29,0),5)</f>
        <v>260</v>
      </c>
      <c r="H5" s="10">
        <f>INDEX('7_do 30 r.ż.'!B3:G28,MATCH(2,B4:B29,0),6)</f>
        <v>-42</v>
      </c>
    </row>
    <row r="6" spans="2:8" x14ac:dyDescent="0.2">
      <c r="B6" s="10">
        <f>RANK('7_do 30 r.ż.'!C5,'7_do 30 r.ż.'!$C$3:'7_do 30 r.ż.'!$C$28,1)+COUNTIF('7_do 30 r.ż.'!$C$3:'7_do 30 r.ż.'!C5,'7_do 30 r.ż.'!C5)-1</f>
        <v>14</v>
      </c>
      <c r="C6" s="8" t="str">
        <f>INDEX('7_do 30 r.ż.'!B3:G28,MATCH(3,B4:B29,0),1)</f>
        <v>bieszczadzki</v>
      </c>
      <c r="D6" s="10">
        <f>INDEX('7_do 30 r.ż.'!B3:G28,MATCH(3,B4:B29,0),2)</f>
        <v>321</v>
      </c>
      <c r="E6" s="9">
        <f>INDEX('7_do 30 r.ż.'!B3:G28,MATCH(3,B4:B29,0),3)</f>
        <v>327</v>
      </c>
      <c r="F6" s="10">
        <f>INDEX('7_do 30 r.ż.'!B3:G28,MATCH(3,B4:B29,0),4)</f>
        <v>-6</v>
      </c>
      <c r="G6" s="9">
        <f>INDEX('7_do 30 r.ż.'!B3:G28,MATCH(3,B4:B29,0),5)</f>
        <v>339</v>
      </c>
      <c r="H6" s="10">
        <f>INDEX('7_do 30 r.ż.'!B3:G28,MATCH(3,B4:B29,0),6)</f>
        <v>-18</v>
      </c>
    </row>
    <row r="7" spans="2:8" x14ac:dyDescent="0.2">
      <c r="B7" s="10">
        <f>RANK('7_do 30 r.ż.'!C6,'7_do 30 r.ż.'!$C$3:'7_do 30 r.ż.'!$C$28,1)+COUNTIF('7_do 30 r.ż.'!$C$3:'7_do 30 r.ż.'!C6,'7_do 30 r.ż.'!C6)-1</f>
        <v>24</v>
      </c>
      <c r="C7" s="8" t="str">
        <f>INDEX('7_do 30 r.ż.'!B3:G28,MATCH(4,B4:B29,0),1)</f>
        <v xml:space="preserve">tarnobrzeski </v>
      </c>
      <c r="D7" s="10">
        <f>INDEX('7_do 30 r.ż.'!B3:G28,MATCH(4,B4:B29,0),2)</f>
        <v>364</v>
      </c>
      <c r="E7" s="9">
        <f>INDEX('7_do 30 r.ż.'!B3:G28,MATCH(4,B4:B29,0),3)</f>
        <v>346</v>
      </c>
      <c r="F7" s="10">
        <f>INDEX('7_do 30 r.ż.'!B3:G28,MATCH(4,B4:B29,0),4)</f>
        <v>18</v>
      </c>
      <c r="G7" s="9">
        <f>INDEX('7_do 30 r.ż.'!B3:G28,MATCH(4,B4:B29,0),5)</f>
        <v>445</v>
      </c>
      <c r="H7" s="10">
        <f>INDEX('7_do 30 r.ż.'!B3:G28,MATCH(4,B4:B29,0),6)</f>
        <v>-81</v>
      </c>
    </row>
    <row r="8" spans="2:8" x14ac:dyDescent="0.2">
      <c r="B8" s="10">
        <f>RANK('7_do 30 r.ż.'!C7,'7_do 30 r.ż.'!$C$3:'7_do 30 r.ż.'!$C$28,1)+COUNTIF('7_do 30 r.ż.'!$C$3:'7_do 30 r.ż.'!C7,'7_do 30 r.ż.'!C7)-1</f>
        <v>25</v>
      </c>
      <c r="C8" s="8" t="str">
        <f>INDEX('7_do 30 r.ż.'!B3:G28,MATCH(5,B4:B29,0),1)</f>
        <v>Przemyśl</v>
      </c>
      <c r="D8" s="10">
        <f>INDEX('7_do 30 r.ż.'!B3:G28,MATCH(5,B4:B29,0),2)</f>
        <v>459</v>
      </c>
      <c r="E8" s="9">
        <f>INDEX('7_do 30 r.ż.'!B3:G28,MATCH(5,B4:B29,0),3)</f>
        <v>465</v>
      </c>
      <c r="F8" s="10">
        <f>INDEX('7_do 30 r.ż.'!B3:G28,MATCH(5,B4:B29,0),4)</f>
        <v>-6</v>
      </c>
      <c r="G8" s="9">
        <f>INDEX('7_do 30 r.ż.'!B3:G28,MATCH(5,B4:B29,0),5)</f>
        <v>542</v>
      </c>
      <c r="H8" s="10">
        <f>INDEX('7_do 30 r.ż.'!B3:G28,MATCH(5,B4:B29,0),6)</f>
        <v>-83</v>
      </c>
    </row>
    <row r="9" spans="2:8" x14ac:dyDescent="0.2">
      <c r="B9" s="10">
        <f>RANK('7_do 30 r.ż.'!C8,'7_do 30 r.ż.'!$C$3:'7_do 30 r.ż.'!$C$28,1)+COUNTIF('7_do 30 r.ż.'!$C$3:'7_do 30 r.ż.'!C8,'7_do 30 r.ż.'!C8)-1</f>
        <v>7</v>
      </c>
      <c r="C9" s="8" t="str">
        <f>INDEX('7_do 30 r.ż.'!B3:G28,MATCH(6,B4:B29,0),1)</f>
        <v>leski</v>
      </c>
      <c r="D9" s="10">
        <f>INDEX('7_do 30 r.ż.'!B3:G28,MATCH(6,B4:B29,0),2)</f>
        <v>478</v>
      </c>
      <c r="E9" s="9">
        <f>INDEX('7_do 30 r.ż.'!B3:G28,MATCH(6,B4:B29,0),3)</f>
        <v>470</v>
      </c>
      <c r="F9" s="10">
        <f>INDEX('7_do 30 r.ż.'!B3:G28,MATCH(6,B4:B29,0),4)</f>
        <v>8</v>
      </c>
      <c r="G9" s="9">
        <f>INDEX('7_do 30 r.ż.'!B3:G28,MATCH(6,B4:B29,0),5)</f>
        <v>475</v>
      </c>
      <c r="H9" s="10">
        <f>INDEX('7_do 30 r.ż.'!B3:G28,MATCH(6,B4:B29,0),6)</f>
        <v>3</v>
      </c>
    </row>
    <row r="10" spans="2:8" x14ac:dyDescent="0.2">
      <c r="B10" s="10">
        <f>RANK('7_do 30 r.ż.'!C9,'7_do 30 r.ż.'!$C$3:'7_do 30 r.ż.'!$C$28,1)+COUNTIF('7_do 30 r.ż.'!$C$3:'7_do 30 r.ż.'!C9,'7_do 30 r.ż.'!C9)-1</f>
        <v>10</v>
      </c>
      <c r="C10" s="13" t="str">
        <f>INDEX('7_do 30 r.ż.'!B3:G28,MATCH(7,B4:B29,0),1)</f>
        <v>kolbuszowski</v>
      </c>
      <c r="D10" s="10">
        <f>INDEX('7_do 30 r.ż.'!B3:G28,MATCH(7,B4:B29,0),2)</f>
        <v>506</v>
      </c>
      <c r="E10" s="9">
        <f>INDEX('7_do 30 r.ż.'!B3:G28,MATCH(7,B4:B29,0),3)</f>
        <v>488</v>
      </c>
      <c r="F10" s="10">
        <f>INDEX('7_do 30 r.ż.'!B3:G28,MATCH(7,B4:B29,0),4)</f>
        <v>18</v>
      </c>
      <c r="G10" s="9">
        <f>INDEX('7_do 30 r.ż.'!B3:G28,MATCH(7,B4:B29,0),5)</f>
        <v>523</v>
      </c>
      <c r="H10" s="10">
        <f>INDEX('7_do 30 r.ż.'!B3:G28,MATCH(7,B4:B29,0),6)</f>
        <v>-17</v>
      </c>
    </row>
    <row r="11" spans="2:8" x14ac:dyDescent="0.2">
      <c r="B11" s="10">
        <f>RANK('7_do 30 r.ż.'!C10,'7_do 30 r.ż.'!$C$3:'7_do 30 r.ż.'!$C$28,1)+COUNTIF('7_do 30 r.ż.'!$C$3:'7_do 30 r.ż.'!C10,'7_do 30 r.ż.'!C10)-1</f>
        <v>6</v>
      </c>
      <c r="C11" s="8" t="str">
        <f>INDEX('7_do 30 r.ż.'!B3:G28,MATCH(8,B4:B29,0),1)</f>
        <v>stalowowolski</v>
      </c>
      <c r="D11" s="10">
        <f>INDEX('7_do 30 r.ż.'!B3:G28,MATCH(8,B4:B29,0),2)</f>
        <v>528</v>
      </c>
      <c r="E11" s="9">
        <f>INDEX('7_do 30 r.ż.'!B3:G28,MATCH(8,B4:B29,0),3)</f>
        <v>538</v>
      </c>
      <c r="F11" s="10">
        <f>INDEX('7_do 30 r.ż.'!B3:G28,MATCH(8,B4:B29,0),4)</f>
        <v>-10</v>
      </c>
      <c r="G11" s="9">
        <f>INDEX('7_do 30 r.ż.'!B3:G28,MATCH(8,B4:B29,0),5)</f>
        <v>608</v>
      </c>
      <c r="H11" s="10">
        <f>INDEX('7_do 30 r.ż.'!B3:G28,MATCH(8,B4:B29,0),6)</f>
        <v>-80</v>
      </c>
    </row>
    <row r="12" spans="2:8" x14ac:dyDescent="0.2">
      <c r="B12" s="10">
        <f>RANK('7_do 30 r.ż.'!C11,'7_do 30 r.ż.'!$C$3:'7_do 30 r.ż.'!$C$28,1)+COUNTIF('7_do 30 r.ż.'!$C$3:'7_do 30 r.ż.'!C11,'7_do 30 r.ż.'!C11)-1</f>
        <v>18</v>
      </c>
      <c r="C12" s="8" t="str">
        <f>INDEX('7_do 30 r.ż.'!B3:G28,MATCH(9,B4:B29,0),1)</f>
        <v>lubaczowski</v>
      </c>
      <c r="D12" s="10">
        <f>INDEX('7_do 30 r.ż.'!B3:G28,MATCH(9,B4:B29,0),2)</f>
        <v>563</v>
      </c>
      <c r="E12" s="9">
        <f>INDEX('7_do 30 r.ż.'!B3:G28,MATCH(9,B4:B29,0),3)</f>
        <v>586</v>
      </c>
      <c r="F12" s="10">
        <f>INDEX('7_do 30 r.ż.'!B3:G28,MATCH(9,B4:B29,0),4)</f>
        <v>-23</v>
      </c>
      <c r="G12" s="9">
        <f>INDEX('7_do 30 r.ż.'!B3:G28,MATCH(9,B4:B29,0),5)</f>
        <v>601</v>
      </c>
      <c r="H12" s="10">
        <f>INDEX('7_do 30 r.ż.'!B3:G28,MATCH(9,B4:B29,0),6)</f>
        <v>-38</v>
      </c>
    </row>
    <row r="13" spans="2:8" x14ac:dyDescent="0.2">
      <c r="B13" s="10">
        <f>RANK('7_do 30 r.ż.'!C12,'7_do 30 r.ż.'!$C$3:'7_do 30 r.ż.'!$C$28,1)+COUNTIF('7_do 30 r.ż.'!$C$3:'7_do 30 r.ż.'!C12,'7_do 30 r.ż.'!C12)-1</f>
        <v>9</v>
      </c>
      <c r="C13" s="8" t="str">
        <f>INDEX('7_do 30 r.ż.'!B3:G28,MATCH(10,B4:B29,0),1)</f>
        <v>krośnieński</v>
      </c>
      <c r="D13" s="10">
        <f>INDEX('7_do 30 r.ż.'!B3:G28,MATCH(10,B4:B29,0),2)</f>
        <v>586</v>
      </c>
      <c r="E13" s="9">
        <f>INDEX('7_do 30 r.ż.'!B3:G28,MATCH(10,B4:B29,0),3)</f>
        <v>552</v>
      </c>
      <c r="F13" s="10">
        <f>INDEX('7_do 30 r.ż.'!B3:G28,MATCH(10,B4:B29,0),4)</f>
        <v>34</v>
      </c>
      <c r="G13" s="9">
        <f>INDEX('7_do 30 r.ż.'!B3:G28,MATCH(10,B4:B29,0),5)</f>
        <v>487</v>
      </c>
      <c r="H13" s="10">
        <f>INDEX('7_do 30 r.ż.'!B3:G28,MATCH(10,B4:B29,0),6)</f>
        <v>99</v>
      </c>
    </row>
    <row r="14" spans="2:8" x14ac:dyDescent="0.2">
      <c r="B14" s="10">
        <f>RANK('7_do 30 r.ż.'!C13,'7_do 30 r.ż.'!$C$3:'7_do 30 r.ż.'!$C$28,1)+COUNTIF('7_do 30 r.ż.'!$C$3:'7_do 30 r.ż.'!C13,'7_do 30 r.ż.'!C13)-1</f>
        <v>15</v>
      </c>
      <c r="C14" s="8" t="str">
        <f>INDEX('7_do 30 r.ż.'!B3:G28,MATCH(11,B4:B29,0),1)</f>
        <v>mielecki</v>
      </c>
      <c r="D14" s="10">
        <f>INDEX('7_do 30 r.ż.'!B3:G28,MATCH(11,B4:B29,0),2)</f>
        <v>734</v>
      </c>
      <c r="E14" s="9">
        <f>INDEX('7_do 30 r.ż.'!B3:G28,MATCH(11,B4:B29,0),3)</f>
        <v>728</v>
      </c>
      <c r="F14" s="10">
        <f>INDEX('7_do 30 r.ż.'!B3:G28,MATCH(11,B4:B29,0),4)</f>
        <v>6</v>
      </c>
      <c r="G14" s="9">
        <f>INDEX('7_do 30 r.ż.'!B3:G28,MATCH(11,B4:B29,0),5)</f>
        <v>726</v>
      </c>
      <c r="H14" s="10">
        <f>INDEX('7_do 30 r.ż.'!B3:G28,MATCH(11,B4:B29,0),6)</f>
        <v>8</v>
      </c>
    </row>
    <row r="15" spans="2:8" x14ac:dyDescent="0.2">
      <c r="B15" s="10">
        <f>RANK('7_do 30 r.ż.'!C14,'7_do 30 r.ż.'!$C$3:'7_do 30 r.ż.'!$C$28,1)+COUNTIF('7_do 30 r.ż.'!$C$3:'7_do 30 r.ż.'!C14,'7_do 30 r.ż.'!C14)-1</f>
        <v>11</v>
      </c>
      <c r="C15" s="8" t="str">
        <f>INDEX('7_do 30 r.ż.'!B3:G28,MATCH(12,B4:B29,0),1)</f>
        <v>sanocki</v>
      </c>
      <c r="D15" s="10">
        <f>INDEX('7_do 30 r.ż.'!B3:G28,MATCH(12,B4:B29,0),2)</f>
        <v>794</v>
      </c>
      <c r="E15" s="9">
        <f>INDEX('7_do 30 r.ż.'!B3:G28,MATCH(12,B4:B29,0),3)</f>
        <v>784</v>
      </c>
      <c r="F15" s="10">
        <f>INDEX('7_do 30 r.ż.'!B3:G28,MATCH(12,B4:B29,0),4)</f>
        <v>10</v>
      </c>
      <c r="G15" s="9">
        <f>INDEX('7_do 30 r.ż.'!B3:G28,MATCH(12,B4:B29,0),5)</f>
        <v>739</v>
      </c>
      <c r="H15" s="10">
        <f>INDEX('7_do 30 r.ż.'!B3:G28,MATCH(12,B4:B29,0),6)</f>
        <v>55</v>
      </c>
    </row>
    <row r="16" spans="2:8" x14ac:dyDescent="0.2">
      <c r="B16" s="10">
        <f>RANK('7_do 30 r.ż.'!C15,'7_do 30 r.ż.'!$C$3:'7_do 30 r.ż.'!$C$28,1)+COUNTIF('7_do 30 r.ż.'!$C$3:'7_do 30 r.ż.'!C15,'7_do 30 r.ż.'!C15)-1</f>
        <v>17</v>
      </c>
      <c r="C16" s="8" t="str">
        <f>INDEX('7_do 30 r.ż.'!B3:G28,MATCH(13,B4:B29,0),1)</f>
        <v>ropczycko-sędziszowski</v>
      </c>
      <c r="D16" s="10">
        <f>INDEX('7_do 30 r.ż.'!B3:G28,MATCH(13,B4:B29,0),2)</f>
        <v>797</v>
      </c>
      <c r="E16" s="9">
        <f>INDEX('7_do 30 r.ż.'!B3:G28,MATCH(13,B4:B29,0),3)</f>
        <v>812</v>
      </c>
      <c r="F16" s="10">
        <f>INDEX('7_do 30 r.ż.'!B3:G28,MATCH(13,B4:B29,0),4)</f>
        <v>-15</v>
      </c>
      <c r="G16" s="9">
        <f>INDEX('7_do 30 r.ż.'!B3:G28,MATCH(13,B4:B29,0),5)</f>
        <v>969</v>
      </c>
      <c r="H16" s="10">
        <f>INDEX('7_do 30 r.ż.'!B3:G28,MATCH(13,B4:B29,0),6)</f>
        <v>-172</v>
      </c>
    </row>
    <row r="17" spans="2:8" x14ac:dyDescent="0.2">
      <c r="B17" s="10">
        <f>RANK('7_do 30 r.ż.'!C16,'7_do 30 r.ż.'!$C$3:'7_do 30 r.ż.'!$C$28,1)+COUNTIF('7_do 30 r.ż.'!$C$3:'7_do 30 r.ż.'!C16,'7_do 30 r.ż.'!C16)-1</f>
        <v>16</v>
      </c>
      <c r="C17" s="8" t="str">
        <f>INDEX('7_do 30 r.ż.'!B3:G28,MATCH(14,B4:B29,0),1)</f>
        <v>dębicki</v>
      </c>
      <c r="D17" s="10">
        <f>INDEX('7_do 30 r.ż.'!B3:G28,MATCH(14,B4:B29,0),2)</f>
        <v>807</v>
      </c>
      <c r="E17" s="9">
        <f>INDEX('7_do 30 r.ż.'!B3:G28,MATCH(14,B4:B29,0),3)</f>
        <v>782</v>
      </c>
      <c r="F17" s="10">
        <f>INDEX('7_do 30 r.ż.'!B3:G28,MATCH(14,B4:B29,0),4)</f>
        <v>25</v>
      </c>
      <c r="G17" s="9">
        <f>INDEX('7_do 30 r.ż.'!B3:G28,MATCH(14,B4:B29,0),5)</f>
        <v>797</v>
      </c>
      <c r="H17" s="10">
        <f>INDEX('7_do 30 r.ż.'!B3:G28,MATCH(14,B4:B29,0),6)</f>
        <v>10</v>
      </c>
    </row>
    <row r="18" spans="2:8" x14ac:dyDescent="0.2">
      <c r="B18" s="10">
        <f>RANK('7_do 30 r.ż.'!C17,'7_do 30 r.ż.'!$C$3:'7_do 30 r.ż.'!$C$28,1)+COUNTIF('7_do 30 r.ż.'!$C$3:'7_do 30 r.ż.'!C17,'7_do 30 r.ż.'!C17)-1</f>
        <v>20</v>
      </c>
      <c r="C18" s="8" t="str">
        <f>INDEX('7_do 30 r.ż.'!B3:G28,MATCH(15,B4:B29,0),1)</f>
        <v>łańcucki</v>
      </c>
      <c r="D18" s="10">
        <f>INDEX('7_do 30 r.ż.'!B3:G28,MATCH(15,B4:B29,0),2)</f>
        <v>832</v>
      </c>
      <c r="E18" s="9">
        <f>INDEX('7_do 30 r.ż.'!B3:G28,MATCH(15,B4:B29,0),3)</f>
        <v>813</v>
      </c>
      <c r="F18" s="10">
        <f>INDEX('7_do 30 r.ż.'!B3:G28,MATCH(15,B4:B29,0),4)</f>
        <v>19</v>
      </c>
      <c r="G18" s="9">
        <f>INDEX('7_do 30 r.ż.'!B3:G28,MATCH(15,B4:B29,0),5)</f>
        <v>931</v>
      </c>
      <c r="H18" s="10">
        <f>INDEX('7_do 30 r.ż.'!B3:G28,MATCH(15,B4:B29,0),6)</f>
        <v>-99</v>
      </c>
    </row>
    <row r="19" spans="2:8" x14ac:dyDescent="0.2">
      <c r="B19" s="10">
        <f>RANK('7_do 30 r.ż.'!C18,'7_do 30 r.ż.'!$C$3:'7_do 30 r.ż.'!$C$28,1)+COUNTIF('7_do 30 r.ż.'!$C$3:'7_do 30 r.ż.'!C18,'7_do 30 r.ż.'!C18)-1</f>
        <v>13</v>
      </c>
      <c r="C19" s="8" t="str">
        <f>INDEX('7_do 30 r.ż.'!B3:G28,MATCH(16,B4:B29,0),1)</f>
        <v>przemyski</v>
      </c>
      <c r="D19" s="10">
        <f>INDEX('7_do 30 r.ż.'!B3:G28,MATCH(16,B4:B29,0),2)</f>
        <v>851</v>
      </c>
      <c r="E19" s="9">
        <f>INDEX('7_do 30 r.ż.'!B3:G28,MATCH(16,B4:B29,0),3)</f>
        <v>883</v>
      </c>
      <c r="F19" s="10">
        <f>INDEX('7_do 30 r.ż.'!B3:G28,MATCH(16,B4:B29,0),4)</f>
        <v>-32</v>
      </c>
      <c r="G19" s="9">
        <f>INDEX('7_do 30 r.ż.'!B3:G28,MATCH(16,B4:B29,0),5)</f>
        <v>1071</v>
      </c>
      <c r="H19" s="10">
        <f>INDEX('7_do 30 r.ż.'!B3:G28,MATCH(16,B4:B29,0),6)</f>
        <v>-220</v>
      </c>
    </row>
    <row r="20" spans="2:8" x14ac:dyDescent="0.2">
      <c r="B20" s="10">
        <f>RANK('7_do 30 r.ż.'!C19,'7_do 30 r.ż.'!$C$3:'7_do 30 r.ż.'!$C$28,1)+COUNTIF('7_do 30 r.ż.'!$C$3:'7_do 30 r.ż.'!C19,'7_do 30 r.ż.'!C19)-1</f>
        <v>23</v>
      </c>
      <c r="C20" s="8" t="str">
        <f>INDEX('7_do 30 r.ż.'!B3:G28,MATCH(17,B4:B29,0),1)</f>
        <v>niżański</v>
      </c>
      <c r="D20" s="10">
        <f>INDEX('7_do 30 r.ż.'!B3:G28,MATCH(17,B4:B29,0),2)</f>
        <v>883</v>
      </c>
      <c r="E20" s="9">
        <f>INDEX('7_do 30 r.ż.'!B3:G28,MATCH(17,B4:B29,0),3)</f>
        <v>953</v>
      </c>
      <c r="F20" s="10">
        <f>INDEX('7_do 30 r.ż.'!B3:G28,MATCH(17,B4:B29,0),4)</f>
        <v>-70</v>
      </c>
      <c r="G20" s="9">
        <f>INDEX('7_do 30 r.ż.'!B3:G28,MATCH(17,B4:B29,0),5)</f>
        <v>949</v>
      </c>
      <c r="H20" s="10">
        <f>INDEX('7_do 30 r.ż.'!B3:G28,MATCH(17,B4:B29,0),6)</f>
        <v>-66</v>
      </c>
    </row>
    <row r="21" spans="2:8" x14ac:dyDescent="0.2">
      <c r="B21" s="10">
        <f>RANK('7_do 30 r.ż.'!C20,'7_do 30 r.ż.'!$C$3:'7_do 30 r.ż.'!$C$28,1)+COUNTIF('7_do 30 r.ż.'!$C$3:'7_do 30 r.ż.'!C20,'7_do 30 r.ż.'!C20)-1</f>
        <v>12</v>
      </c>
      <c r="C21" s="8" t="str">
        <f>INDEX('7_do 30 r.ż.'!B3:G28,MATCH(18,B4:B29,0),1)</f>
        <v>leżajski</v>
      </c>
      <c r="D21" s="10">
        <f>INDEX('7_do 30 r.ż.'!B3:G28,MATCH(18,B4:B29,0),2)</f>
        <v>941</v>
      </c>
      <c r="E21" s="9">
        <f>INDEX('7_do 30 r.ż.'!B3:G28,MATCH(18,B4:B29,0),3)</f>
        <v>983</v>
      </c>
      <c r="F21" s="10">
        <f>INDEX('7_do 30 r.ż.'!B3:G28,MATCH(18,B4:B29,0),4)</f>
        <v>-42</v>
      </c>
      <c r="G21" s="9">
        <f>INDEX('7_do 30 r.ż.'!B3:G28,MATCH(18,B4:B29,0),5)</f>
        <v>1090</v>
      </c>
      <c r="H21" s="10">
        <f>INDEX('7_do 30 r.ż.'!B3:G28,MATCH(18,B4:B29,0),6)</f>
        <v>-149</v>
      </c>
    </row>
    <row r="22" spans="2:8" x14ac:dyDescent="0.2">
      <c r="B22" s="10">
        <f>RANK('7_do 30 r.ż.'!C21,'7_do 30 r.ż.'!$C$3:'7_do 30 r.ż.'!$C$28,1)+COUNTIF('7_do 30 r.ż.'!$C$3:'7_do 30 r.ż.'!C21,'7_do 30 r.ż.'!C21)-1</f>
        <v>8</v>
      </c>
      <c r="C22" s="8" t="str">
        <f>INDEX('7_do 30 r.ż.'!B3:G28,MATCH(19,B4:B29,0),1)</f>
        <v>strzyżowski</v>
      </c>
      <c r="D22" s="10">
        <f>INDEX('7_do 30 r.ż.'!B3:G28,MATCH(19,B4:B29,0),2)</f>
        <v>947</v>
      </c>
      <c r="E22" s="9">
        <f>INDEX('7_do 30 r.ż.'!B3:G28,MATCH(19,B4:B29,0),3)</f>
        <v>996</v>
      </c>
      <c r="F22" s="10">
        <f>INDEX('7_do 30 r.ż.'!B3:G28,MATCH(19,B4:B29,0),4)</f>
        <v>-49</v>
      </c>
      <c r="G22" s="9">
        <f>INDEX('7_do 30 r.ż.'!B3:G28,MATCH(19,B4:B29,0),5)</f>
        <v>1001</v>
      </c>
      <c r="H22" s="10">
        <f>INDEX('7_do 30 r.ż.'!B3:G28,MATCH(19,B4:B29,0),6)</f>
        <v>-54</v>
      </c>
    </row>
    <row r="23" spans="2:8" x14ac:dyDescent="0.2">
      <c r="B23" s="10">
        <f>RANK('7_do 30 r.ż.'!C22,'7_do 30 r.ż.'!$C$3:'7_do 30 r.ż.'!$C$28,1)+COUNTIF('7_do 30 r.ż.'!$C$3:'7_do 30 r.ż.'!C22,'7_do 30 r.ż.'!C22)-1</f>
        <v>19</v>
      </c>
      <c r="C23" s="8" t="str">
        <f>INDEX('7_do 30 r.ż.'!B3:G28,MATCH(20,B4:B29,0),1)</f>
        <v>przeworski</v>
      </c>
      <c r="D23" s="10">
        <f>INDEX('7_do 30 r.ż.'!B3:G28,MATCH(20,B4:B29,0),2)</f>
        <v>1000</v>
      </c>
      <c r="E23" s="9">
        <f>INDEX('7_do 30 r.ż.'!B3:G28,MATCH(20,B4:B29,0),3)</f>
        <v>1062</v>
      </c>
      <c r="F23" s="10">
        <f>INDEX('7_do 30 r.ż.'!B3:G28,MATCH(20,B4:B29,0),4)</f>
        <v>-62</v>
      </c>
      <c r="G23" s="9">
        <f>INDEX('7_do 30 r.ż.'!B3:G28,MATCH(20,B4:B29,0),5)</f>
        <v>1077</v>
      </c>
      <c r="H23" s="10">
        <f>INDEX('7_do 30 r.ż.'!B3:G28,MATCH(20,B4:B29,0),6)</f>
        <v>-77</v>
      </c>
    </row>
    <row r="24" spans="2:8" x14ac:dyDescent="0.2">
      <c r="B24" s="10">
        <f>RANK('7_do 30 r.ż.'!C23,'7_do 30 r.ż.'!$C$3:'7_do 30 r.ż.'!$C$28,1)+COUNTIF('7_do 30 r.ż.'!$C$3:'7_do 30 r.ż.'!C23,'7_do 30 r.ż.'!C23)-1</f>
        <v>4</v>
      </c>
      <c r="C24" s="8" t="str">
        <f>INDEX('7_do 30 r.ż.'!B3:G28,MATCH(21,B4:B29,0),1)</f>
        <v>Rzeszów</v>
      </c>
      <c r="D24" s="10">
        <f>INDEX('7_do 30 r.ż.'!B3:G28,MATCH(21,B4:B29,0),2)</f>
        <v>1000</v>
      </c>
      <c r="E24" s="9">
        <f>INDEX('7_do 30 r.ż.'!B3:G28,MATCH(21,B4:B29,0),3)</f>
        <v>1024</v>
      </c>
      <c r="F24" s="10">
        <f>INDEX('7_do 30 r.ż.'!B3:G28,MATCH(21,B4:B29,0),4)</f>
        <v>-24</v>
      </c>
      <c r="G24" s="9">
        <f>INDEX('7_do 30 r.ż.'!B3:G28,MATCH(21,B4:B29,0),5)</f>
        <v>1179</v>
      </c>
      <c r="H24" s="10">
        <f>INDEX('7_do 30 r.ż.'!B3:G28,MATCH(21,B4:B29,0),6)</f>
        <v>-179</v>
      </c>
    </row>
    <row r="25" spans="2:8" x14ac:dyDescent="0.2">
      <c r="B25" s="10">
        <f>RANK('7_do 30 r.ż.'!C24,'7_do 30 r.ż.'!$C$3:'7_do 30 r.ż.'!$C$28,1)+COUNTIF('7_do 30 r.ż.'!$C$3:'7_do 30 r.ż.'!C24,'7_do 30 r.ż.'!C24)-1</f>
        <v>1</v>
      </c>
      <c r="C25" s="8" t="str">
        <f>INDEX('7_do 30 r.ż.'!B3:G28,MATCH(22,B4:B29,0),1)</f>
        <v>brzozowski</v>
      </c>
      <c r="D25" s="10">
        <f>INDEX('7_do 30 r.ż.'!B3:G28,MATCH(22,B4:B29,0),2)</f>
        <v>1058</v>
      </c>
      <c r="E25" s="9">
        <f>INDEX('7_do 30 r.ż.'!B3:G28,MATCH(22,B4:B29,0),3)</f>
        <v>1057</v>
      </c>
      <c r="F25" s="10">
        <f>INDEX('7_do 30 r.ż.'!B3:G28,MATCH(22,B4:B29,0),4)</f>
        <v>1</v>
      </c>
      <c r="G25" s="9">
        <f>INDEX('7_do 30 r.ż.'!B3:G28,MATCH(22,B4:B29,0),5)</f>
        <v>1124</v>
      </c>
      <c r="H25" s="10">
        <f>INDEX('7_do 30 r.ż.'!B3:G28,MATCH(22,B4:B29,0),6)</f>
        <v>-66</v>
      </c>
    </row>
    <row r="26" spans="2:8" x14ac:dyDescent="0.2">
      <c r="B26" s="10">
        <f>RANK('7_do 30 r.ż.'!C25,'7_do 30 r.ż.'!$C$3:'7_do 30 r.ż.'!$C$28,1)+COUNTIF('7_do 30 r.ż.'!$C$3:'7_do 30 r.ż.'!C25,'7_do 30 r.ż.'!C25)-1</f>
        <v>5</v>
      </c>
      <c r="C26" s="8" t="str">
        <f>INDEX('7_do 30 r.ż.'!B3:G28,MATCH(23,B4:B29,0),1)</f>
        <v>rzeszowski</v>
      </c>
      <c r="D26" s="10">
        <f>INDEX('7_do 30 r.ż.'!B3:G28,MATCH(23,B4:B29,0),2)</f>
        <v>1317</v>
      </c>
      <c r="E26" s="9">
        <f>INDEX('7_do 30 r.ż.'!B3:G28,MATCH(23,B4:B29,0),3)</f>
        <v>1331</v>
      </c>
      <c r="F26" s="10">
        <f>INDEX('7_do 30 r.ż.'!B3:G28,MATCH(23,B4:B29,0),4)</f>
        <v>-14</v>
      </c>
      <c r="G26" s="9">
        <f>INDEX('7_do 30 r.ż.'!B3:G28,MATCH(23,B4:B29,0),5)</f>
        <v>1595</v>
      </c>
      <c r="H26" s="10">
        <f>INDEX('7_do 30 r.ż.'!B3:G28,MATCH(23,B4:B29,0),6)</f>
        <v>-278</v>
      </c>
    </row>
    <row r="27" spans="2:8" x14ac:dyDescent="0.2">
      <c r="B27" s="10">
        <f>RANK('7_do 30 r.ż.'!C26,'7_do 30 r.ż.'!$C$3:'7_do 30 r.ż.'!$C$28,1)+COUNTIF('7_do 30 r.ż.'!$C$3:'7_do 30 r.ż.'!C26,'7_do 30 r.ż.'!C26)-1</f>
        <v>21</v>
      </c>
      <c r="C27" s="8" t="str">
        <f>INDEX('7_do 30 r.ż.'!B3:G28,MATCH(24,B4:B29,0),1)</f>
        <v>jarosławski</v>
      </c>
      <c r="D27" s="10">
        <f>INDEX('7_do 30 r.ż.'!B3:G28,MATCH(24,B4:B29,0),2)</f>
        <v>1324</v>
      </c>
      <c r="E27" s="9">
        <f>INDEX('7_do 30 r.ż.'!B3:G28,MATCH(24,B4:B29,0),3)</f>
        <v>1332</v>
      </c>
      <c r="F27" s="10">
        <f>INDEX('7_do 30 r.ż.'!B3:G28,MATCH(24,B4:B29,0),4)</f>
        <v>-8</v>
      </c>
      <c r="G27" s="9">
        <f>INDEX('7_do 30 r.ż.'!B3:G28,MATCH(24,B4:B29,0),5)</f>
        <v>1499</v>
      </c>
      <c r="H27" s="10">
        <f>INDEX('7_do 30 r.ż.'!B3:G28,MATCH(24,B4:B29,0),6)</f>
        <v>-175</v>
      </c>
    </row>
    <row r="28" spans="2:8" x14ac:dyDescent="0.2">
      <c r="B28" s="10">
        <f>RANK('7_do 30 r.ż.'!C27,'7_do 30 r.ż.'!$C$3:'7_do 30 r.ż.'!$C$28,1)+COUNTIF('7_do 30 r.ż.'!$C$3:'7_do 30 r.ż.'!C27,'7_do 30 r.ż.'!C27)-1</f>
        <v>2</v>
      </c>
      <c r="C28" s="8" t="str">
        <f>INDEX('7_do 30 r.ż.'!B3:G28,MATCH(25,B4:B29,0),1)</f>
        <v>jasielski</v>
      </c>
      <c r="D28" s="10">
        <f>INDEX('7_do 30 r.ż.'!B3:G28,MATCH(25,B4:B29,0),2)</f>
        <v>1340</v>
      </c>
      <c r="E28" s="9">
        <f>INDEX('7_do 30 r.ż.'!B3:G28,MATCH(25,B4:B29,0),3)</f>
        <v>1360</v>
      </c>
      <c r="F28" s="10">
        <f>INDEX('7_do 30 r.ż.'!B3:G28,MATCH(25,B4:B29,0),4)</f>
        <v>-20</v>
      </c>
      <c r="G28" s="9">
        <f>INDEX('7_do 30 r.ż.'!B3:G28,MATCH(25,B4:B29,0),5)</f>
        <v>1378</v>
      </c>
      <c r="H28" s="10">
        <f>INDEX('7_do 30 r.ż.'!B3:G28,MATCH(25,B4:B29,0),6)</f>
        <v>-38</v>
      </c>
    </row>
    <row r="29" spans="2:8" ht="15" x14ac:dyDescent="0.25">
      <c r="B29" s="34">
        <f>RANK('7_do 30 r.ż.'!C28,'7_do 30 r.ż.'!$C$3:'7_do 30 r.ż.'!$C$28,1)+COUNTIF('7_do 30 r.ż.'!$C$3:'7_do 30 r.ż.'!C28,'7_do 30 r.ż.'!C28)-1</f>
        <v>26</v>
      </c>
      <c r="C29" s="35" t="str">
        <f>INDEX('7_do 30 r.ż.'!B3:G28,MATCH(26,B4:B29,0),1)</f>
        <v>województwo</v>
      </c>
      <c r="D29" s="34">
        <f>INDEX('7_do 30 r.ż.'!B3:G28,MATCH(26,B4:B29,0),2)</f>
        <v>18800</v>
      </c>
      <c r="E29" s="17">
        <f>INDEX('7_do 30 r.ż.'!B3:G28,MATCH(26,B4:B29,0),3)</f>
        <v>19038</v>
      </c>
      <c r="F29" s="34">
        <f>INDEX('7_do 30 r.ż.'!B3:G28,MATCH(26,B4:B29,0),4)</f>
        <v>-238</v>
      </c>
      <c r="G29" s="17">
        <f>INDEX('7_do 30 r.ż.'!B3:G28,MATCH(26,B4:B29,0),5)</f>
        <v>20550</v>
      </c>
      <c r="H29" s="34">
        <f>INDEX('7_do 30 r.ż.'!B3:G28,MATCH(26,B4:B29,0),6)</f>
        <v>-1750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 tint="0.59999389629810485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28515625" style="3" customWidth="1"/>
    <col min="3" max="3" width="14.7109375" style="3" customWidth="1"/>
    <col min="4" max="4" width="14.140625" style="3" customWidth="1"/>
    <col min="5" max="5" width="16.5703125" style="3" customWidth="1"/>
    <col min="6" max="6" width="13.7109375" style="3" customWidth="1"/>
    <col min="7" max="7" width="17.28515625" style="3" customWidth="1"/>
    <col min="8" max="8" width="6.85546875" style="3" customWidth="1"/>
    <col min="9" max="16384" width="9.140625" style="3"/>
  </cols>
  <sheetData>
    <row r="1" spans="2:8" ht="17.25" customHeight="1" x14ac:dyDescent="0.2">
      <c r="B1" s="1" t="s">
        <v>84</v>
      </c>
      <c r="C1" s="75"/>
      <c r="D1" s="75"/>
      <c r="E1" s="75"/>
      <c r="F1" s="75"/>
      <c r="G1" s="75"/>
    </row>
    <row r="2" spans="2:8" ht="57" x14ac:dyDescent="0.2">
      <c r="B2" s="5" t="s">
        <v>27</v>
      </c>
      <c r="C2" s="6" t="s">
        <v>127</v>
      </c>
      <c r="D2" s="7" t="s">
        <v>108</v>
      </c>
      <c r="E2" s="6" t="s">
        <v>28</v>
      </c>
      <c r="F2" s="7" t="s">
        <v>126</v>
      </c>
      <c r="G2" s="6" t="s">
        <v>26</v>
      </c>
    </row>
    <row r="3" spans="2:8" x14ac:dyDescent="0.2">
      <c r="B3" s="8" t="s">
        <v>0</v>
      </c>
      <c r="C3" s="73">
        <v>280</v>
      </c>
      <c r="D3" s="9">
        <v>277</v>
      </c>
      <c r="E3" s="73">
        <f t="shared" ref="E3:E27" si="0">SUM(C3)-D3</f>
        <v>3</v>
      </c>
      <c r="F3" s="9">
        <v>275</v>
      </c>
      <c r="G3" s="73">
        <f t="shared" ref="G3:G27" si="1">SUM(C3)-F3</f>
        <v>5</v>
      </c>
      <c r="H3" s="11"/>
    </row>
    <row r="4" spans="2:8" x14ac:dyDescent="0.2">
      <c r="B4" s="8" t="s">
        <v>1</v>
      </c>
      <c r="C4" s="73">
        <v>1025</v>
      </c>
      <c r="D4" s="9">
        <v>1027</v>
      </c>
      <c r="E4" s="73">
        <f t="shared" si="0"/>
        <v>-2</v>
      </c>
      <c r="F4" s="9">
        <v>1089</v>
      </c>
      <c r="G4" s="73">
        <f t="shared" si="1"/>
        <v>-64</v>
      </c>
      <c r="H4" s="11"/>
    </row>
    <row r="5" spans="2:8" x14ac:dyDescent="0.2">
      <c r="B5" s="8" t="s">
        <v>2</v>
      </c>
      <c r="C5" s="73">
        <v>610</v>
      </c>
      <c r="D5" s="9">
        <v>603</v>
      </c>
      <c r="E5" s="73">
        <f t="shared" si="0"/>
        <v>7</v>
      </c>
      <c r="F5" s="9">
        <v>653</v>
      </c>
      <c r="G5" s="73">
        <f t="shared" si="1"/>
        <v>-43</v>
      </c>
      <c r="H5" s="11"/>
    </row>
    <row r="6" spans="2:8" x14ac:dyDescent="0.2">
      <c r="B6" s="8" t="s">
        <v>3</v>
      </c>
      <c r="C6" s="73">
        <v>1153</v>
      </c>
      <c r="D6" s="9">
        <v>1151</v>
      </c>
      <c r="E6" s="73">
        <f t="shared" si="0"/>
        <v>2</v>
      </c>
      <c r="F6" s="9">
        <v>1273</v>
      </c>
      <c r="G6" s="73">
        <f t="shared" si="1"/>
        <v>-120</v>
      </c>
      <c r="H6" s="11"/>
    </row>
    <row r="7" spans="2:8" x14ac:dyDescent="0.2">
      <c r="B7" s="8" t="s">
        <v>4</v>
      </c>
      <c r="C7" s="73">
        <v>1185</v>
      </c>
      <c r="D7" s="9">
        <v>1179</v>
      </c>
      <c r="E7" s="73">
        <f t="shared" si="0"/>
        <v>6</v>
      </c>
      <c r="F7" s="9">
        <v>1220</v>
      </c>
      <c r="G7" s="73">
        <f t="shared" si="1"/>
        <v>-35</v>
      </c>
      <c r="H7" s="11"/>
    </row>
    <row r="8" spans="2:8" x14ac:dyDescent="0.2">
      <c r="B8" s="8" t="s">
        <v>5</v>
      </c>
      <c r="C8" s="73">
        <v>456</v>
      </c>
      <c r="D8" s="9">
        <v>451</v>
      </c>
      <c r="E8" s="73">
        <f t="shared" si="0"/>
        <v>5</v>
      </c>
      <c r="F8" s="9">
        <v>512</v>
      </c>
      <c r="G8" s="73">
        <f t="shared" si="1"/>
        <v>-56</v>
      </c>
      <c r="H8" s="11"/>
    </row>
    <row r="9" spans="2:8" x14ac:dyDescent="0.2">
      <c r="B9" s="13" t="s">
        <v>6</v>
      </c>
      <c r="C9" s="73">
        <v>579</v>
      </c>
      <c r="D9" s="9">
        <v>573</v>
      </c>
      <c r="E9" s="73">
        <f t="shared" si="0"/>
        <v>6</v>
      </c>
      <c r="F9" s="9">
        <v>595</v>
      </c>
      <c r="G9" s="73">
        <f t="shared" si="1"/>
        <v>-16</v>
      </c>
      <c r="H9" s="11"/>
    </row>
    <row r="10" spans="2:8" x14ac:dyDescent="0.2">
      <c r="B10" s="8" t="s">
        <v>7</v>
      </c>
      <c r="C10" s="73">
        <v>447</v>
      </c>
      <c r="D10" s="9">
        <v>449</v>
      </c>
      <c r="E10" s="73">
        <f t="shared" si="0"/>
        <v>-2</v>
      </c>
      <c r="F10" s="9">
        <v>431</v>
      </c>
      <c r="G10" s="73">
        <f t="shared" si="1"/>
        <v>16</v>
      </c>
      <c r="H10" s="11"/>
    </row>
    <row r="11" spans="2:8" x14ac:dyDescent="0.2">
      <c r="B11" s="8" t="s">
        <v>8</v>
      </c>
      <c r="C11" s="73">
        <v>771</v>
      </c>
      <c r="D11" s="9">
        <v>758</v>
      </c>
      <c r="E11" s="73">
        <f t="shared" si="0"/>
        <v>13</v>
      </c>
      <c r="F11" s="9">
        <v>810</v>
      </c>
      <c r="G11" s="73">
        <f t="shared" si="1"/>
        <v>-39</v>
      </c>
      <c r="H11" s="11"/>
    </row>
    <row r="12" spans="2:8" x14ac:dyDescent="0.2">
      <c r="B12" s="8" t="s">
        <v>9</v>
      </c>
      <c r="C12" s="73">
        <v>523</v>
      </c>
      <c r="D12" s="9">
        <v>529</v>
      </c>
      <c r="E12" s="73">
        <f t="shared" si="0"/>
        <v>-6</v>
      </c>
      <c r="F12" s="9">
        <v>520</v>
      </c>
      <c r="G12" s="73">
        <f t="shared" si="1"/>
        <v>3</v>
      </c>
      <c r="H12" s="11"/>
    </row>
    <row r="13" spans="2:8" x14ac:dyDescent="0.2">
      <c r="B13" s="8" t="s">
        <v>10</v>
      </c>
      <c r="C13" s="73">
        <v>658</v>
      </c>
      <c r="D13" s="9">
        <v>670</v>
      </c>
      <c r="E13" s="73">
        <f t="shared" si="0"/>
        <v>-12</v>
      </c>
      <c r="F13" s="9">
        <v>791</v>
      </c>
      <c r="G13" s="73">
        <f t="shared" si="1"/>
        <v>-133</v>
      </c>
      <c r="H13" s="11"/>
    </row>
    <row r="14" spans="2:8" x14ac:dyDescent="0.2">
      <c r="B14" s="8" t="s">
        <v>11</v>
      </c>
      <c r="C14" s="73">
        <v>716</v>
      </c>
      <c r="D14" s="9">
        <v>702</v>
      </c>
      <c r="E14" s="73">
        <f t="shared" si="0"/>
        <v>14</v>
      </c>
      <c r="F14" s="9">
        <v>706</v>
      </c>
      <c r="G14" s="73">
        <f t="shared" si="1"/>
        <v>10</v>
      </c>
      <c r="H14" s="11"/>
    </row>
    <row r="15" spans="2:8" x14ac:dyDescent="0.2">
      <c r="B15" s="8" t="s">
        <v>12</v>
      </c>
      <c r="C15" s="73">
        <v>793</v>
      </c>
      <c r="D15" s="9">
        <v>792</v>
      </c>
      <c r="E15" s="73">
        <f t="shared" si="0"/>
        <v>1</v>
      </c>
      <c r="F15" s="9">
        <v>830</v>
      </c>
      <c r="G15" s="73">
        <f t="shared" si="1"/>
        <v>-37</v>
      </c>
      <c r="H15" s="11"/>
    </row>
    <row r="16" spans="2:8" x14ac:dyDescent="0.2">
      <c r="B16" s="8" t="s">
        <v>13</v>
      </c>
      <c r="C16" s="73">
        <v>771</v>
      </c>
      <c r="D16" s="9">
        <v>797</v>
      </c>
      <c r="E16" s="73">
        <f t="shared" si="0"/>
        <v>-26</v>
      </c>
      <c r="F16" s="9">
        <v>833</v>
      </c>
      <c r="G16" s="73">
        <f t="shared" si="1"/>
        <v>-62</v>
      </c>
      <c r="H16" s="11"/>
    </row>
    <row r="17" spans="2:8" x14ac:dyDescent="0.2">
      <c r="B17" s="8" t="s">
        <v>14</v>
      </c>
      <c r="C17" s="73">
        <v>738</v>
      </c>
      <c r="D17" s="9">
        <v>760</v>
      </c>
      <c r="E17" s="73">
        <f t="shared" si="0"/>
        <v>-22</v>
      </c>
      <c r="F17" s="9">
        <v>835</v>
      </c>
      <c r="G17" s="73">
        <f t="shared" si="1"/>
        <v>-97</v>
      </c>
      <c r="H17" s="11"/>
    </row>
    <row r="18" spans="2:8" x14ac:dyDescent="0.2">
      <c r="B18" s="8" t="s">
        <v>15</v>
      </c>
      <c r="C18" s="73">
        <v>647</v>
      </c>
      <c r="D18" s="9">
        <v>640</v>
      </c>
      <c r="E18" s="73">
        <f t="shared" si="0"/>
        <v>7</v>
      </c>
      <c r="F18" s="9">
        <v>689</v>
      </c>
      <c r="G18" s="73">
        <f t="shared" si="1"/>
        <v>-42</v>
      </c>
      <c r="H18" s="11"/>
    </row>
    <row r="19" spans="2:8" x14ac:dyDescent="0.2">
      <c r="B19" s="8" t="s">
        <v>16</v>
      </c>
      <c r="C19" s="73">
        <v>1297</v>
      </c>
      <c r="D19" s="9">
        <v>1274</v>
      </c>
      <c r="E19" s="73">
        <f t="shared" si="0"/>
        <v>23</v>
      </c>
      <c r="F19" s="9">
        <v>1330</v>
      </c>
      <c r="G19" s="73">
        <f t="shared" si="1"/>
        <v>-33</v>
      </c>
      <c r="H19" s="11"/>
    </row>
    <row r="20" spans="2:8" x14ac:dyDescent="0.2">
      <c r="B20" s="8" t="s">
        <v>17</v>
      </c>
      <c r="C20" s="73">
        <v>650</v>
      </c>
      <c r="D20" s="9">
        <v>636</v>
      </c>
      <c r="E20" s="73">
        <f t="shared" si="0"/>
        <v>14</v>
      </c>
      <c r="F20" s="9">
        <v>592</v>
      </c>
      <c r="G20" s="73">
        <f t="shared" si="1"/>
        <v>58</v>
      </c>
      <c r="H20" s="11"/>
    </row>
    <row r="21" spans="2:8" x14ac:dyDescent="0.2">
      <c r="B21" s="8" t="s">
        <v>18</v>
      </c>
      <c r="C21" s="73">
        <v>544</v>
      </c>
      <c r="D21" s="9">
        <v>553</v>
      </c>
      <c r="E21" s="73">
        <f t="shared" si="0"/>
        <v>-9</v>
      </c>
      <c r="F21" s="9">
        <v>667</v>
      </c>
      <c r="G21" s="73">
        <f t="shared" si="1"/>
        <v>-123</v>
      </c>
      <c r="H21" s="11"/>
    </row>
    <row r="22" spans="2:8" x14ac:dyDescent="0.2">
      <c r="B22" s="8" t="s">
        <v>19</v>
      </c>
      <c r="C22" s="73">
        <v>806</v>
      </c>
      <c r="D22" s="9">
        <v>798</v>
      </c>
      <c r="E22" s="73">
        <f t="shared" si="0"/>
        <v>8</v>
      </c>
      <c r="F22" s="9">
        <v>857</v>
      </c>
      <c r="G22" s="73">
        <f t="shared" si="1"/>
        <v>-51</v>
      </c>
      <c r="H22" s="11"/>
    </row>
    <row r="23" spans="2:8" x14ac:dyDescent="0.2">
      <c r="B23" s="8" t="s">
        <v>20</v>
      </c>
      <c r="C23" s="73">
        <v>389</v>
      </c>
      <c r="D23" s="9">
        <v>390</v>
      </c>
      <c r="E23" s="73">
        <f t="shared" si="0"/>
        <v>-1</v>
      </c>
      <c r="F23" s="9">
        <v>459</v>
      </c>
      <c r="G23" s="73">
        <f t="shared" si="1"/>
        <v>-70</v>
      </c>
      <c r="H23" s="11"/>
    </row>
    <row r="24" spans="2:8" x14ac:dyDescent="0.2">
      <c r="B24" s="8" t="s">
        <v>21</v>
      </c>
      <c r="C24" s="73">
        <v>189</v>
      </c>
      <c r="D24" s="9">
        <v>186</v>
      </c>
      <c r="E24" s="73">
        <f t="shared" si="0"/>
        <v>3</v>
      </c>
      <c r="F24" s="9">
        <v>196</v>
      </c>
      <c r="G24" s="73">
        <f t="shared" si="1"/>
        <v>-7</v>
      </c>
      <c r="H24" s="11"/>
    </row>
    <row r="25" spans="2:8" x14ac:dyDescent="0.2">
      <c r="B25" s="8" t="s">
        <v>22</v>
      </c>
      <c r="C25" s="73">
        <v>760</v>
      </c>
      <c r="D25" s="9">
        <v>758</v>
      </c>
      <c r="E25" s="73">
        <f t="shared" si="0"/>
        <v>2</v>
      </c>
      <c r="F25" s="9">
        <v>830</v>
      </c>
      <c r="G25" s="73">
        <f t="shared" si="1"/>
        <v>-70</v>
      </c>
      <c r="H25" s="11"/>
    </row>
    <row r="26" spans="2:8" x14ac:dyDescent="0.2">
      <c r="B26" s="8" t="s">
        <v>23</v>
      </c>
      <c r="C26" s="73">
        <v>1521</v>
      </c>
      <c r="D26" s="9">
        <v>1517</v>
      </c>
      <c r="E26" s="73">
        <f t="shared" si="0"/>
        <v>4</v>
      </c>
      <c r="F26" s="9">
        <v>1630</v>
      </c>
      <c r="G26" s="73">
        <f t="shared" si="1"/>
        <v>-109</v>
      </c>
      <c r="H26" s="11"/>
    </row>
    <row r="27" spans="2:8" x14ac:dyDescent="0.2">
      <c r="B27" s="8" t="s">
        <v>24</v>
      </c>
      <c r="C27" s="73">
        <v>348</v>
      </c>
      <c r="D27" s="9">
        <v>347</v>
      </c>
      <c r="E27" s="73">
        <f t="shared" si="0"/>
        <v>1</v>
      </c>
      <c r="F27" s="9">
        <v>401</v>
      </c>
      <c r="G27" s="73">
        <f t="shared" si="1"/>
        <v>-53</v>
      </c>
      <c r="H27" s="11"/>
    </row>
    <row r="28" spans="2:8" ht="15" x14ac:dyDescent="0.25">
      <c r="B28" s="15" t="s">
        <v>25</v>
      </c>
      <c r="C28" s="74">
        <f>SUM(C3:C27)</f>
        <v>17856</v>
      </c>
      <c r="D28" s="17">
        <f>SUM(D3:D27)</f>
        <v>17817</v>
      </c>
      <c r="E28" s="74">
        <f>SUM(E3:E27)</f>
        <v>39</v>
      </c>
      <c r="F28" s="17">
        <f>SUM(F3:F27)</f>
        <v>19024</v>
      </c>
      <c r="G28" s="74">
        <f>SUM(G3:G27)</f>
        <v>-1168</v>
      </c>
      <c r="H28" s="11"/>
    </row>
    <row r="29" spans="2:8" x14ac:dyDescent="0.2">
      <c r="E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7" style="3" customWidth="1"/>
    <col min="3" max="3" width="25.5703125" style="3" customWidth="1"/>
    <col min="4" max="6" width="16.140625" style="3" customWidth="1"/>
    <col min="7" max="7" width="15.5703125" style="3" customWidth="1"/>
    <col min="8" max="8" width="17.140625" style="3" customWidth="1"/>
    <col min="9" max="9" width="6.5703125" style="3" customWidth="1"/>
    <col min="10" max="18" width="9.140625" style="3"/>
    <col min="19" max="19" width="4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84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T('8_pow. 50 r.ż.'!B2)</f>
        <v>powiaty</v>
      </c>
      <c r="D3" s="5" t="str">
        <f>T('8_pow. 50 r.ż.'!C2)</f>
        <v>liczba bezrobotnych 50+ stan na 28 II '23 r.</v>
      </c>
      <c r="E3" s="5" t="str">
        <f>T('8_pow. 50 r.ż.'!D2)</f>
        <v>liczba bezrobotnych 50+ stan na 31 I '23 r.</v>
      </c>
      <c r="F3" s="5" t="str">
        <f>T('8_pow. 50 r.ż.'!E2)</f>
        <v>wzrost/spadek do poprzedniego  miesiąca</v>
      </c>
      <c r="G3" s="5" t="str">
        <f>T('8_pow. 50 r.ż.'!F2)</f>
        <v>liczba bezrobotnych 50+ stan na 28 II '22 r.</v>
      </c>
      <c r="H3" s="5" t="str">
        <f>T('8_pow. 50 r.ż.'!G2)</f>
        <v>wzrost/spadek do analogicznego okresu ubr.</v>
      </c>
    </row>
    <row r="4" spans="2:8" x14ac:dyDescent="0.2">
      <c r="B4" s="10">
        <f>RANK('8_pow. 50 r.ż.'!C3,'8_pow. 50 r.ż.'!$C$3:'8_pow. 50 r.ż.'!$C$28,1)+COUNTIF('8_pow. 50 r.ż.'!$C$3:'8_pow. 50 r.ż.'!C3,'8_pow. 50 r.ż.'!C3)-1</f>
        <v>2</v>
      </c>
      <c r="C4" s="8" t="str">
        <f>INDEX('8_pow. 50 r.ż.'!B3:G28,MATCH(1,B4:B29,0),1)</f>
        <v>Krosno</v>
      </c>
      <c r="D4" s="39">
        <f>INDEX('8_pow. 50 r.ż.'!B3:G28,MATCH(1,B4:B29,0),2)</f>
        <v>189</v>
      </c>
      <c r="E4" s="9">
        <f>INDEX('8_pow. 50 r.ż.'!B3:G28,MATCH(1,B4:B29,0),3)</f>
        <v>186</v>
      </c>
      <c r="F4" s="10">
        <f>INDEX('8_pow. 50 r.ż.'!B3:G28,MATCH(1,B4:B29,0),4)</f>
        <v>3</v>
      </c>
      <c r="G4" s="9">
        <f>INDEX('8_pow. 50 r.ż.'!B3:G28,MATCH(1,B4:B29,0),5)</f>
        <v>196</v>
      </c>
      <c r="H4" s="10">
        <f>INDEX('8_pow. 50 r.ż.'!B3:G28,MATCH(1,B4:B29,0),6)</f>
        <v>-7</v>
      </c>
    </row>
    <row r="5" spans="2:8" x14ac:dyDescent="0.2">
      <c r="B5" s="10">
        <f>RANK('8_pow. 50 r.ż.'!C4,'8_pow. 50 r.ż.'!$C$3:'8_pow. 50 r.ż.'!$C$28,1)+COUNTIF('8_pow. 50 r.ż.'!$C$3:'8_pow. 50 r.ż.'!C4,'8_pow. 50 r.ż.'!C4)-1</f>
        <v>21</v>
      </c>
      <c r="C5" s="8" t="str">
        <f>INDEX('8_pow. 50 r.ż.'!B3:G28,MATCH(2,B4:B29,0),1)</f>
        <v>bieszczadzki</v>
      </c>
      <c r="D5" s="10">
        <f>INDEX('8_pow. 50 r.ż.'!B3:G28,MATCH(2,B4:B29,0),2)</f>
        <v>280</v>
      </c>
      <c r="E5" s="9">
        <f>INDEX('8_pow. 50 r.ż.'!B3:G28,MATCH(2,B4:B29,0),3)</f>
        <v>277</v>
      </c>
      <c r="F5" s="10">
        <f>INDEX('8_pow. 50 r.ż.'!B3:G28,MATCH(2,B4:B29,0),4)</f>
        <v>3</v>
      </c>
      <c r="G5" s="9">
        <f>INDEX('8_pow. 50 r.ż.'!B3:G28,MATCH(2,B4:B29,0),5)</f>
        <v>275</v>
      </c>
      <c r="H5" s="10">
        <f>INDEX('8_pow. 50 r.ż.'!B3:G28,MATCH(2,B4:B29,0),6)</f>
        <v>5</v>
      </c>
    </row>
    <row r="6" spans="2:8" x14ac:dyDescent="0.2">
      <c r="B6" s="10">
        <f>RANK('8_pow. 50 r.ż.'!C5,'8_pow. 50 r.ż.'!$C$3:'8_pow. 50 r.ż.'!$C$28,1)+COUNTIF('8_pow. 50 r.ż.'!$C$3:'8_pow. 50 r.ż.'!C5,'8_pow. 50 r.ż.'!C5)-1</f>
        <v>10</v>
      </c>
      <c r="C6" s="8" t="str">
        <f>INDEX('8_pow. 50 r.ż.'!B3:G28,MATCH(3,B4:B29,0),1)</f>
        <v>Tarnobrzeg</v>
      </c>
      <c r="D6" s="10">
        <f>INDEX('8_pow. 50 r.ż.'!B3:G28,MATCH(3,B4:B29,0),2)</f>
        <v>348</v>
      </c>
      <c r="E6" s="9">
        <f>INDEX('8_pow. 50 r.ż.'!B3:G28,MATCH(3,B4:B29,0),3)</f>
        <v>347</v>
      </c>
      <c r="F6" s="10">
        <f>INDEX('8_pow. 50 r.ż.'!B3:G28,MATCH(3,B4:B29,0),4)</f>
        <v>1</v>
      </c>
      <c r="G6" s="9">
        <f>INDEX('8_pow. 50 r.ż.'!B3:G28,MATCH(3,B4:B29,0),5)</f>
        <v>401</v>
      </c>
      <c r="H6" s="10">
        <f>INDEX('8_pow. 50 r.ż.'!B3:G28,MATCH(3,B4:B29,0),6)</f>
        <v>-53</v>
      </c>
    </row>
    <row r="7" spans="2:8" x14ac:dyDescent="0.2">
      <c r="B7" s="10">
        <f>RANK('8_pow. 50 r.ż.'!C6,'8_pow. 50 r.ż.'!$C$3:'8_pow. 50 r.ż.'!$C$28,1)+COUNTIF('8_pow. 50 r.ż.'!$C$3:'8_pow. 50 r.ż.'!C6,'8_pow. 50 r.ż.'!C6)-1</f>
        <v>22</v>
      </c>
      <c r="C7" s="8" t="str">
        <f>INDEX('8_pow. 50 r.ż.'!B3:G28,MATCH(4,B4:B29,0),1)</f>
        <v xml:space="preserve">tarnobrzeski </v>
      </c>
      <c r="D7" s="10">
        <f>INDEX('8_pow. 50 r.ż.'!B3:G28,MATCH(4,B4:B29,0),2)</f>
        <v>389</v>
      </c>
      <c r="E7" s="9">
        <f>INDEX('8_pow. 50 r.ż.'!B3:G28,MATCH(4,B4:B29,0),3)</f>
        <v>390</v>
      </c>
      <c r="F7" s="10">
        <f>INDEX('8_pow. 50 r.ż.'!B3:G28,MATCH(4,B4:B29,0),4)</f>
        <v>-1</v>
      </c>
      <c r="G7" s="9">
        <f>INDEX('8_pow. 50 r.ż.'!B3:G28,MATCH(4,B4:B29,0),5)</f>
        <v>459</v>
      </c>
      <c r="H7" s="10">
        <f>INDEX('8_pow. 50 r.ż.'!B3:G28,MATCH(4,B4:B29,0),6)</f>
        <v>-70</v>
      </c>
    </row>
    <row r="8" spans="2:8" x14ac:dyDescent="0.2">
      <c r="B8" s="10">
        <f>RANK('8_pow. 50 r.ż.'!C7,'8_pow. 50 r.ż.'!$C$3:'8_pow. 50 r.ż.'!$C$28,1)+COUNTIF('8_pow. 50 r.ż.'!$C$3:'8_pow. 50 r.ż.'!C7,'8_pow. 50 r.ż.'!C7)-1</f>
        <v>23</v>
      </c>
      <c r="C8" s="8" t="str">
        <f>INDEX('8_pow. 50 r.ż.'!B3:G28,MATCH(5,B4:B29,0),1)</f>
        <v>leski</v>
      </c>
      <c r="D8" s="10">
        <f>INDEX('8_pow. 50 r.ż.'!B3:G28,MATCH(5,B4:B29,0),2)</f>
        <v>447</v>
      </c>
      <c r="E8" s="9">
        <f>INDEX('8_pow. 50 r.ż.'!B3:G28,MATCH(5,B4:B29,0),3)</f>
        <v>449</v>
      </c>
      <c r="F8" s="10">
        <f>INDEX('8_pow. 50 r.ż.'!B3:G28,MATCH(5,B4:B29,0),4)</f>
        <v>-2</v>
      </c>
      <c r="G8" s="9">
        <f>INDEX('8_pow. 50 r.ż.'!B3:G28,MATCH(5,B4:B29,0),5)</f>
        <v>431</v>
      </c>
      <c r="H8" s="10">
        <f>INDEX('8_pow. 50 r.ż.'!B3:G28,MATCH(5,B4:B29,0),6)</f>
        <v>16</v>
      </c>
    </row>
    <row r="9" spans="2:8" x14ac:dyDescent="0.2">
      <c r="B9" s="10">
        <f>RANK('8_pow. 50 r.ż.'!C8,'8_pow. 50 r.ż.'!$C$3:'8_pow. 50 r.ż.'!$C$28,1)+COUNTIF('8_pow. 50 r.ż.'!$C$3:'8_pow. 50 r.ż.'!C8,'8_pow. 50 r.ż.'!C8)-1</f>
        <v>6</v>
      </c>
      <c r="C9" s="8" t="str">
        <f>INDEX('8_pow. 50 r.ż.'!B3:G28,MATCH(6,B4:B29,0),1)</f>
        <v>kolbuszowski</v>
      </c>
      <c r="D9" s="10">
        <f>INDEX('8_pow. 50 r.ż.'!B3:G28,MATCH(6,B4:B29,0),2)</f>
        <v>456</v>
      </c>
      <c r="E9" s="9">
        <f>INDEX('8_pow. 50 r.ż.'!B3:G28,MATCH(6,B4:B29,0),3)</f>
        <v>451</v>
      </c>
      <c r="F9" s="10">
        <f>INDEX('8_pow. 50 r.ż.'!B3:G28,MATCH(6,B4:B29,0),4)</f>
        <v>5</v>
      </c>
      <c r="G9" s="9">
        <f>INDEX('8_pow. 50 r.ż.'!B3:G28,MATCH(6,B4:B29,0),5)</f>
        <v>512</v>
      </c>
      <c r="H9" s="10">
        <f>INDEX('8_pow. 50 r.ż.'!B3:G28,MATCH(6,B4:B29,0),6)</f>
        <v>-56</v>
      </c>
    </row>
    <row r="10" spans="2:8" x14ac:dyDescent="0.2">
      <c r="B10" s="10">
        <f>RANK('8_pow. 50 r.ż.'!C9,'8_pow. 50 r.ż.'!$C$3:'8_pow. 50 r.ż.'!$C$28,1)+COUNTIF('8_pow. 50 r.ż.'!$C$3:'8_pow. 50 r.ż.'!C9,'8_pow. 50 r.ż.'!C9)-1</f>
        <v>9</v>
      </c>
      <c r="C10" s="13" t="str">
        <f>INDEX('8_pow. 50 r.ż.'!B3:G28,MATCH(7,B4:B29,0),1)</f>
        <v>lubaczowski</v>
      </c>
      <c r="D10" s="10">
        <f>INDEX('8_pow. 50 r.ż.'!B3:G28,MATCH(7,B4:B29,0),2)</f>
        <v>523</v>
      </c>
      <c r="E10" s="9">
        <f>INDEX('8_pow. 50 r.ż.'!B3:G28,MATCH(7,B4:B29,0),3)</f>
        <v>529</v>
      </c>
      <c r="F10" s="10">
        <f>INDEX('8_pow. 50 r.ż.'!B3:G28,MATCH(7,B4:B29,0),4)</f>
        <v>-6</v>
      </c>
      <c r="G10" s="9">
        <f>INDEX('8_pow. 50 r.ż.'!B3:G28,MATCH(7,B4:B29,0),5)</f>
        <v>520</v>
      </c>
      <c r="H10" s="10">
        <f>INDEX('8_pow. 50 r.ż.'!B3:G28,MATCH(7,B4:B29,0),6)</f>
        <v>3</v>
      </c>
    </row>
    <row r="11" spans="2:8" x14ac:dyDescent="0.2">
      <c r="B11" s="10">
        <f>RANK('8_pow. 50 r.ż.'!C10,'8_pow. 50 r.ż.'!$C$3:'8_pow. 50 r.ż.'!$C$28,1)+COUNTIF('8_pow. 50 r.ż.'!$C$3:'8_pow. 50 r.ż.'!C10,'8_pow. 50 r.ż.'!C10)-1</f>
        <v>5</v>
      </c>
      <c r="C11" s="8" t="str">
        <f>INDEX('8_pow. 50 r.ż.'!B3:G28,MATCH(8,B4:B29,0),1)</f>
        <v>stalowowolski</v>
      </c>
      <c r="D11" s="10">
        <f>INDEX('8_pow. 50 r.ż.'!B3:G28,MATCH(8,B4:B29,0),2)</f>
        <v>544</v>
      </c>
      <c r="E11" s="9">
        <f>INDEX('8_pow. 50 r.ż.'!B3:G28,MATCH(8,B4:B29,0),3)</f>
        <v>553</v>
      </c>
      <c r="F11" s="10">
        <f>INDEX('8_pow. 50 r.ż.'!B3:G28,MATCH(8,B4:B29,0),4)</f>
        <v>-9</v>
      </c>
      <c r="G11" s="9">
        <f>INDEX('8_pow. 50 r.ż.'!B3:G28,MATCH(8,B4:B29,0),5)</f>
        <v>667</v>
      </c>
      <c r="H11" s="10">
        <f>INDEX('8_pow. 50 r.ż.'!B3:G28,MATCH(8,B4:B29,0),6)</f>
        <v>-123</v>
      </c>
    </row>
    <row r="12" spans="2:8" x14ac:dyDescent="0.2">
      <c r="B12" s="10">
        <f>RANK('8_pow. 50 r.ż.'!C11,'8_pow. 50 r.ż.'!$C$3:'8_pow. 50 r.ż.'!$C$28,1)+COUNTIF('8_pow. 50 r.ż.'!$C$3:'8_pow. 50 r.ż.'!C11,'8_pow. 50 r.ż.'!C11)-1</f>
        <v>17</v>
      </c>
      <c r="C12" s="8" t="str">
        <f>INDEX('8_pow. 50 r.ż.'!B3:G28,MATCH(9,B4:B29,0),1)</f>
        <v>krośnieński</v>
      </c>
      <c r="D12" s="10">
        <f>INDEX('8_pow. 50 r.ż.'!B3:G28,MATCH(9,B4:B29,0),2)</f>
        <v>579</v>
      </c>
      <c r="E12" s="9">
        <f>INDEX('8_pow. 50 r.ż.'!B3:G28,MATCH(9,B4:B29,0),3)</f>
        <v>573</v>
      </c>
      <c r="F12" s="10">
        <f>INDEX('8_pow. 50 r.ż.'!B3:G28,MATCH(9,B4:B29,0),4)</f>
        <v>6</v>
      </c>
      <c r="G12" s="9">
        <f>INDEX('8_pow. 50 r.ż.'!B3:G28,MATCH(9,B4:B29,0),5)</f>
        <v>595</v>
      </c>
      <c r="H12" s="10">
        <f>INDEX('8_pow. 50 r.ż.'!B3:G28,MATCH(9,B4:B29,0),6)</f>
        <v>-16</v>
      </c>
    </row>
    <row r="13" spans="2:8" x14ac:dyDescent="0.2">
      <c r="B13" s="10">
        <f>RANK('8_pow. 50 r.ż.'!C12,'8_pow. 50 r.ż.'!$C$3:'8_pow. 50 r.ż.'!$C$28,1)+COUNTIF('8_pow. 50 r.ż.'!$C$3:'8_pow. 50 r.ż.'!C12,'8_pow. 50 r.ż.'!C12)-1</f>
        <v>7</v>
      </c>
      <c r="C13" s="8" t="str">
        <f>INDEX('8_pow. 50 r.ż.'!B3:G28,MATCH(10,B4:B29,0),1)</f>
        <v>dębicki</v>
      </c>
      <c r="D13" s="10">
        <f>INDEX('8_pow. 50 r.ż.'!B3:G28,MATCH(10,B4:B29,0),2)</f>
        <v>610</v>
      </c>
      <c r="E13" s="9">
        <f>INDEX('8_pow. 50 r.ż.'!B3:G28,MATCH(10,B4:B29,0),3)</f>
        <v>603</v>
      </c>
      <c r="F13" s="10">
        <f>INDEX('8_pow. 50 r.ż.'!B3:G28,MATCH(10,B4:B29,0),4)</f>
        <v>7</v>
      </c>
      <c r="G13" s="9">
        <f>INDEX('8_pow. 50 r.ż.'!B3:G28,MATCH(10,B4:B29,0),5)</f>
        <v>653</v>
      </c>
      <c r="H13" s="10">
        <f>INDEX('8_pow. 50 r.ż.'!B3:G28,MATCH(10,B4:B29,0),6)</f>
        <v>-43</v>
      </c>
    </row>
    <row r="14" spans="2:8" x14ac:dyDescent="0.2">
      <c r="B14" s="10">
        <f>RANK('8_pow. 50 r.ż.'!C13,'8_pow. 50 r.ż.'!$C$3:'8_pow. 50 r.ż.'!$C$28,1)+COUNTIF('8_pow. 50 r.ż.'!$C$3:'8_pow. 50 r.ż.'!C13,'8_pow. 50 r.ż.'!C13)-1</f>
        <v>13</v>
      </c>
      <c r="C14" s="8" t="str">
        <f>INDEX('8_pow. 50 r.ż.'!B3:G28,MATCH(11,B4:B29,0),1)</f>
        <v>ropczycko-sędziszowski</v>
      </c>
      <c r="D14" s="10">
        <f>INDEX('8_pow. 50 r.ż.'!B3:G28,MATCH(11,B4:B29,0),2)</f>
        <v>647</v>
      </c>
      <c r="E14" s="9">
        <f>INDEX('8_pow. 50 r.ż.'!B3:G28,MATCH(11,B4:B29,0),3)</f>
        <v>640</v>
      </c>
      <c r="F14" s="10">
        <f>INDEX('8_pow. 50 r.ż.'!B3:G28,MATCH(11,B4:B29,0),4)</f>
        <v>7</v>
      </c>
      <c r="G14" s="9">
        <f>INDEX('8_pow. 50 r.ż.'!B3:G28,MATCH(11,B4:B29,0),5)</f>
        <v>689</v>
      </c>
      <c r="H14" s="10">
        <f>INDEX('8_pow. 50 r.ż.'!B3:G28,MATCH(11,B4:B29,0),6)</f>
        <v>-42</v>
      </c>
    </row>
    <row r="15" spans="2:8" x14ac:dyDescent="0.2">
      <c r="B15" s="10">
        <f>RANK('8_pow. 50 r.ż.'!C14,'8_pow. 50 r.ż.'!$C$3:'8_pow. 50 r.ż.'!$C$28,1)+COUNTIF('8_pow. 50 r.ż.'!$C$3:'8_pow. 50 r.ż.'!C14,'8_pow. 50 r.ż.'!C14)-1</f>
        <v>14</v>
      </c>
      <c r="C15" s="8" t="str">
        <f>INDEX('8_pow. 50 r.ż.'!B3:G28,MATCH(12,B4:B29,0),1)</f>
        <v>sanocki</v>
      </c>
      <c r="D15" s="10">
        <f>INDEX('8_pow. 50 r.ż.'!B3:G28,MATCH(12,B4:B29,0),2)</f>
        <v>650</v>
      </c>
      <c r="E15" s="9">
        <f>INDEX('8_pow. 50 r.ż.'!B3:G28,MATCH(12,B4:B29,0),3)</f>
        <v>636</v>
      </c>
      <c r="F15" s="10">
        <f>INDEX('8_pow. 50 r.ż.'!B3:G28,MATCH(12,B4:B29,0),4)</f>
        <v>14</v>
      </c>
      <c r="G15" s="9">
        <f>INDEX('8_pow. 50 r.ż.'!B3:G28,MATCH(12,B4:B29,0),5)</f>
        <v>592</v>
      </c>
      <c r="H15" s="10">
        <f>INDEX('8_pow. 50 r.ż.'!B3:G28,MATCH(12,B4:B29,0),6)</f>
        <v>58</v>
      </c>
    </row>
    <row r="16" spans="2:8" x14ac:dyDescent="0.2">
      <c r="B16" s="10">
        <f>RANK('8_pow. 50 r.ż.'!C15,'8_pow. 50 r.ż.'!$C$3:'8_pow. 50 r.ż.'!$C$28,1)+COUNTIF('8_pow. 50 r.ż.'!$C$3:'8_pow. 50 r.ż.'!C15,'8_pow. 50 r.ż.'!C15)-1</f>
        <v>19</v>
      </c>
      <c r="C16" s="8" t="str">
        <f>INDEX('8_pow. 50 r.ż.'!B3:G28,MATCH(13,B4:B29,0),1)</f>
        <v>łańcucki</v>
      </c>
      <c r="D16" s="10">
        <f>INDEX('8_pow. 50 r.ż.'!B3:G28,MATCH(13,B4:B29,0),2)</f>
        <v>658</v>
      </c>
      <c r="E16" s="9">
        <f>INDEX('8_pow. 50 r.ż.'!B3:G28,MATCH(13,B4:B29,0),3)</f>
        <v>670</v>
      </c>
      <c r="F16" s="10">
        <f>INDEX('8_pow. 50 r.ż.'!B3:G28,MATCH(13,B4:B29,0),4)</f>
        <v>-12</v>
      </c>
      <c r="G16" s="9">
        <f>INDEX('8_pow. 50 r.ż.'!B3:G28,MATCH(13,B4:B29,0),5)</f>
        <v>791</v>
      </c>
      <c r="H16" s="10">
        <f>INDEX('8_pow. 50 r.ż.'!B3:G28,MATCH(13,B4:B29,0),6)</f>
        <v>-133</v>
      </c>
    </row>
    <row r="17" spans="2:8" x14ac:dyDescent="0.2">
      <c r="B17" s="10">
        <f>RANK('8_pow. 50 r.ż.'!C16,'8_pow. 50 r.ż.'!$C$3:'8_pow. 50 r.ż.'!$C$28,1)+COUNTIF('8_pow. 50 r.ż.'!$C$3:'8_pow. 50 r.ż.'!C16,'8_pow. 50 r.ż.'!C16)-1</f>
        <v>18</v>
      </c>
      <c r="C17" s="8" t="str">
        <f>INDEX('8_pow. 50 r.ż.'!B3:G28,MATCH(14,B4:B29,0),1)</f>
        <v>mielecki</v>
      </c>
      <c r="D17" s="10">
        <f>INDEX('8_pow. 50 r.ż.'!B3:G28,MATCH(14,B4:B29,0),2)</f>
        <v>716</v>
      </c>
      <c r="E17" s="9">
        <f>INDEX('8_pow. 50 r.ż.'!B3:G28,MATCH(14,B4:B29,0),3)</f>
        <v>702</v>
      </c>
      <c r="F17" s="10">
        <f>INDEX('8_pow. 50 r.ż.'!B3:G28,MATCH(14,B4:B29,0),4)</f>
        <v>14</v>
      </c>
      <c r="G17" s="9">
        <f>INDEX('8_pow. 50 r.ż.'!B3:G28,MATCH(14,B4:B29,0),5)</f>
        <v>706</v>
      </c>
      <c r="H17" s="10">
        <f>INDEX('8_pow. 50 r.ż.'!B3:G28,MATCH(14,B4:B29,0),6)</f>
        <v>10</v>
      </c>
    </row>
    <row r="18" spans="2:8" x14ac:dyDescent="0.2">
      <c r="B18" s="10">
        <f>RANK('8_pow. 50 r.ż.'!C17,'8_pow. 50 r.ż.'!$C$3:'8_pow. 50 r.ż.'!$C$28,1)+COUNTIF('8_pow. 50 r.ż.'!$C$3:'8_pow. 50 r.ż.'!C17,'8_pow. 50 r.ż.'!C17)-1</f>
        <v>15</v>
      </c>
      <c r="C18" s="8" t="str">
        <f>INDEX('8_pow. 50 r.ż.'!B3:G28,MATCH(15,B4:B29,0),1)</f>
        <v>przeworski</v>
      </c>
      <c r="D18" s="10">
        <f>INDEX('8_pow. 50 r.ż.'!B3:G28,MATCH(15,B4:B29,0),2)</f>
        <v>738</v>
      </c>
      <c r="E18" s="9">
        <f>INDEX('8_pow. 50 r.ż.'!B3:G28,MATCH(15,B4:B29,0),3)</f>
        <v>760</v>
      </c>
      <c r="F18" s="10">
        <f>INDEX('8_pow. 50 r.ż.'!B3:G28,MATCH(15,B4:B29,0),4)</f>
        <v>-22</v>
      </c>
      <c r="G18" s="9">
        <f>INDEX('8_pow. 50 r.ż.'!B3:G28,MATCH(15,B4:B29,0),5)</f>
        <v>835</v>
      </c>
      <c r="H18" s="10">
        <f>INDEX('8_pow. 50 r.ż.'!B3:G28,MATCH(15,B4:B29,0),6)</f>
        <v>-97</v>
      </c>
    </row>
    <row r="19" spans="2:8" x14ac:dyDescent="0.2">
      <c r="B19" s="10">
        <f>RANK('8_pow. 50 r.ż.'!C18,'8_pow. 50 r.ż.'!$C$3:'8_pow. 50 r.ż.'!$C$28,1)+COUNTIF('8_pow. 50 r.ż.'!$C$3:'8_pow. 50 r.ż.'!C18,'8_pow. 50 r.ż.'!C18)-1</f>
        <v>11</v>
      </c>
      <c r="C19" s="8" t="str">
        <f>INDEX('8_pow. 50 r.ż.'!B3:G28,MATCH(16,B4:B29,0),1)</f>
        <v>Przemyśl</v>
      </c>
      <c r="D19" s="10">
        <f>INDEX('8_pow. 50 r.ż.'!B3:G28,MATCH(16,B4:B29,0),2)</f>
        <v>760</v>
      </c>
      <c r="E19" s="9">
        <f>INDEX('8_pow. 50 r.ż.'!B3:G28,MATCH(16,B4:B29,0),3)</f>
        <v>758</v>
      </c>
      <c r="F19" s="10">
        <f>INDEX('8_pow. 50 r.ż.'!B3:G28,MATCH(16,B4:B29,0),4)</f>
        <v>2</v>
      </c>
      <c r="G19" s="9">
        <f>INDEX('8_pow. 50 r.ż.'!B3:G28,MATCH(16,B4:B29,0),5)</f>
        <v>830</v>
      </c>
      <c r="H19" s="10">
        <f>INDEX('8_pow. 50 r.ż.'!B3:G28,MATCH(16,B4:B29,0),6)</f>
        <v>-70</v>
      </c>
    </row>
    <row r="20" spans="2:8" x14ac:dyDescent="0.2">
      <c r="B20" s="10">
        <f>RANK('8_pow. 50 r.ż.'!C19,'8_pow. 50 r.ż.'!$C$3:'8_pow. 50 r.ż.'!$C$28,1)+COUNTIF('8_pow. 50 r.ż.'!$C$3:'8_pow. 50 r.ż.'!C19,'8_pow. 50 r.ż.'!C19)-1</f>
        <v>24</v>
      </c>
      <c r="C20" s="8" t="str">
        <f>INDEX('8_pow. 50 r.ż.'!B3:G28,MATCH(17,B4:B29,0),1)</f>
        <v>leżajski</v>
      </c>
      <c r="D20" s="10">
        <f>INDEX('8_pow. 50 r.ż.'!B3:G28,MATCH(17,B4:B29,0),2)</f>
        <v>771</v>
      </c>
      <c r="E20" s="9">
        <f>INDEX('8_pow. 50 r.ż.'!B3:G28,MATCH(17,B4:B29,0),3)</f>
        <v>758</v>
      </c>
      <c r="F20" s="10">
        <f>INDEX('8_pow. 50 r.ż.'!B3:G28,MATCH(17,B4:B29,0),4)</f>
        <v>13</v>
      </c>
      <c r="G20" s="9">
        <f>INDEX('8_pow. 50 r.ż.'!B3:G28,MATCH(17,B4:B29,0),5)</f>
        <v>810</v>
      </c>
      <c r="H20" s="10">
        <f>INDEX('8_pow. 50 r.ż.'!B3:G28,MATCH(17,B4:B29,0),6)</f>
        <v>-39</v>
      </c>
    </row>
    <row r="21" spans="2:8" x14ac:dyDescent="0.2">
      <c r="B21" s="10">
        <f>RANK('8_pow. 50 r.ż.'!C20,'8_pow. 50 r.ż.'!$C$3:'8_pow. 50 r.ż.'!$C$28,1)+COUNTIF('8_pow. 50 r.ż.'!$C$3:'8_pow. 50 r.ż.'!C20,'8_pow. 50 r.ż.'!C20)-1</f>
        <v>12</v>
      </c>
      <c r="C21" s="8" t="str">
        <f>INDEX('8_pow. 50 r.ż.'!B3:G28,MATCH(18,B4:B29,0),1)</f>
        <v>przemyski</v>
      </c>
      <c r="D21" s="10">
        <f>INDEX('8_pow. 50 r.ż.'!B3:G28,MATCH(18,B4:B29,0),2)</f>
        <v>771</v>
      </c>
      <c r="E21" s="9">
        <f>INDEX('8_pow. 50 r.ż.'!B3:G28,MATCH(18,B4:B29,0),3)</f>
        <v>797</v>
      </c>
      <c r="F21" s="10">
        <f>INDEX('8_pow. 50 r.ż.'!B3:G28,MATCH(18,B4:B29,0),4)</f>
        <v>-26</v>
      </c>
      <c r="G21" s="9">
        <f>INDEX('8_pow. 50 r.ż.'!B3:G28,MATCH(18,B4:B29,0),5)</f>
        <v>833</v>
      </c>
      <c r="H21" s="10">
        <f>INDEX('8_pow. 50 r.ż.'!B3:G28,MATCH(18,B4:B29,0),6)</f>
        <v>-62</v>
      </c>
    </row>
    <row r="22" spans="2:8" x14ac:dyDescent="0.2">
      <c r="B22" s="10">
        <f>RANK('8_pow. 50 r.ż.'!C21,'8_pow. 50 r.ż.'!$C$3:'8_pow. 50 r.ż.'!$C$28,1)+COUNTIF('8_pow. 50 r.ż.'!$C$3:'8_pow. 50 r.ż.'!C21,'8_pow. 50 r.ż.'!C21)-1</f>
        <v>8</v>
      </c>
      <c r="C22" s="8" t="str">
        <f>INDEX('8_pow. 50 r.ż.'!B3:G28,MATCH(19,B4:B29,0),1)</f>
        <v>niżański</v>
      </c>
      <c r="D22" s="10">
        <f>INDEX('8_pow. 50 r.ż.'!B3:G28,MATCH(19,B4:B29,0),2)</f>
        <v>793</v>
      </c>
      <c r="E22" s="9">
        <f>INDEX('8_pow. 50 r.ż.'!B3:G28,MATCH(19,B4:B29,0),3)</f>
        <v>792</v>
      </c>
      <c r="F22" s="10">
        <f>INDEX('8_pow. 50 r.ż.'!B3:G28,MATCH(19,B4:B29,0),4)</f>
        <v>1</v>
      </c>
      <c r="G22" s="9">
        <f>INDEX('8_pow. 50 r.ż.'!B3:G28,MATCH(19,B4:B29,0),5)</f>
        <v>830</v>
      </c>
      <c r="H22" s="10">
        <f>INDEX('8_pow. 50 r.ż.'!B3:G28,MATCH(19,B4:B29,0),6)</f>
        <v>-37</v>
      </c>
    </row>
    <row r="23" spans="2:8" x14ac:dyDescent="0.2">
      <c r="B23" s="10">
        <f>RANK('8_pow. 50 r.ż.'!C22,'8_pow. 50 r.ż.'!$C$3:'8_pow. 50 r.ż.'!$C$28,1)+COUNTIF('8_pow. 50 r.ż.'!$C$3:'8_pow. 50 r.ż.'!C22,'8_pow. 50 r.ż.'!C22)-1</f>
        <v>20</v>
      </c>
      <c r="C23" s="8" t="str">
        <f>INDEX('8_pow. 50 r.ż.'!B3:G28,MATCH(20,B4:B29,0),1)</f>
        <v>strzyżowski</v>
      </c>
      <c r="D23" s="10">
        <f>INDEX('8_pow. 50 r.ż.'!B3:G28,MATCH(20,B4:B29,0),2)</f>
        <v>806</v>
      </c>
      <c r="E23" s="9">
        <f>INDEX('8_pow. 50 r.ż.'!B3:G28,MATCH(20,B4:B29,0),3)</f>
        <v>798</v>
      </c>
      <c r="F23" s="10">
        <f>INDEX('8_pow. 50 r.ż.'!B3:G28,MATCH(20,B4:B29,0),4)</f>
        <v>8</v>
      </c>
      <c r="G23" s="9">
        <f>INDEX('8_pow. 50 r.ż.'!B3:G28,MATCH(20,B4:B29,0),5)</f>
        <v>857</v>
      </c>
      <c r="H23" s="10">
        <f>INDEX('8_pow. 50 r.ż.'!B3:G28,MATCH(20,B4:B29,0),6)</f>
        <v>-51</v>
      </c>
    </row>
    <row r="24" spans="2:8" x14ac:dyDescent="0.2">
      <c r="B24" s="10">
        <f>RANK('8_pow. 50 r.ż.'!C23,'8_pow. 50 r.ż.'!$C$3:'8_pow. 50 r.ż.'!$C$28,1)+COUNTIF('8_pow. 50 r.ż.'!$C$3:'8_pow. 50 r.ż.'!C23,'8_pow. 50 r.ż.'!C23)-1</f>
        <v>4</v>
      </c>
      <c r="C24" s="8" t="str">
        <f>INDEX('8_pow. 50 r.ż.'!B3:G28,MATCH(21,B4:B29,0),1)</f>
        <v>brzozowski</v>
      </c>
      <c r="D24" s="10">
        <f>INDEX('8_pow. 50 r.ż.'!B3:G28,MATCH(21,B4:B29,0),2)</f>
        <v>1025</v>
      </c>
      <c r="E24" s="9">
        <f>INDEX('8_pow. 50 r.ż.'!B3:G28,MATCH(21,B4:B29,0),3)</f>
        <v>1027</v>
      </c>
      <c r="F24" s="10">
        <f>INDEX('8_pow. 50 r.ż.'!B3:G28,MATCH(21,B4:B29,0),4)</f>
        <v>-2</v>
      </c>
      <c r="G24" s="9">
        <f>INDEX('8_pow. 50 r.ż.'!B3:G28,MATCH(21,B4:B29,0),5)</f>
        <v>1089</v>
      </c>
      <c r="H24" s="10">
        <f>INDEX('8_pow. 50 r.ż.'!B3:G28,MATCH(21,B4:B29,0),6)</f>
        <v>-64</v>
      </c>
    </row>
    <row r="25" spans="2:8" x14ac:dyDescent="0.2">
      <c r="B25" s="10">
        <f>RANK('8_pow. 50 r.ż.'!C24,'8_pow. 50 r.ż.'!$C$3:'8_pow. 50 r.ż.'!$C$28,1)+COUNTIF('8_pow. 50 r.ż.'!$C$3:'8_pow. 50 r.ż.'!C24,'8_pow. 50 r.ż.'!C24)-1</f>
        <v>1</v>
      </c>
      <c r="C25" s="8" t="str">
        <f>INDEX('8_pow. 50 r.ż.'!B3:G28,MATCH(22,B4:B29,0),1)</f>
        <v>jarosławski</v>
      </c>
      <c r="D25" s="10">
        <f>INDEX('8_pow. 50 r.ż.'!B3:G28,MATCH(22,B4:B29,0),2)</f>
        <v>1153</v>
      </c>
      <c r="E25" s="9">
        <f>INDEX('8_pow. 50 r.ż.'!B3:G28,MATCH(22,B4:B29,0),3)</f>
        <v>1151</v>
      </c>
      <c r="F25" s="10">
        <f>INDEX('8_pow. 50 r.ż.'!B3:G28,MATCH(22,B4:B29,0),4)</f>
        <v>2</v>
      </c>
      <c r="G25" s="9">
        <f>INDEX('8_pow. 50 r.ż.'!B3:G28,MATCH(22,B4:B29,0),5)</f>
        <v>1273</v>
      </c>
      <c r="H25" s="10">
        <f>INDEX('8_pow. 50 r.ż.'!B3:G28,MATCH(22,B4:B29,0),6)</f>
        <v>-120</v>
      </c>
    </row>
    <row r="26" spans="2:8" x14ac:dyDescent="0.2">
      <c r="B26" s="10">
        <f>RANK('8_pow. 50 r.ż.'!C25,'8_pow. 50 r.ż.'!$C$3:'8_pow. 50 r.ż.'!$C$28,1)+COUNTIF('8_pow. 50 r.ż.'!$C$3:'8_pow. 50 r.ż.'!C25,'8_pow. 50 r.ż.'!C25)-1</f>
        <v>16</v>
      </c>
      <c r="C26" s="8" t="str">
        <f>INDEX('8_pow. 50 r.ż.'!B3:G28,MATCH(23,B4:B29,0),1)</f>
        <v>jasielski</v>
      </c>
      <c r="D26" s="10">
        <f>INDEX('8_pow. 50 r.ż.'!B3:G28,MATCH(23,B4:B29,0),2)</f>
        <v>1185</v>
      </c>
      <c r="E26" s="9">
        <f>INDEX('8_pow. 50 r.ż.'!B3:G28,MATCH(23,B4:B29,0),3)</f>
        <v>1179</v>
      </c>
      <c r="F26" s="10">
        <f>INDEX('8_pow. 50 r.ż.'!B3:G28,MATCH(23,B4:B29,0),4)</f>
        <v>6</v>
      </c>
      <c r="G26" s="9">
        <f>INDEX('8_pow. 50 r.ż.'!B3:G28,MATCH(23,B4:B29,0),5)</f>
        <v>1220</v>
      </c>
      <c r="H26" s="10">
        <f>INDEX('8_pow. 50 r.ż.'!B3:G28,MATCH(23,B4:B29,0),6)</f>
        <v>-35</v>
      </c>
    </row>
    <row r="27" spans="2:8" x14ac:dyDescent="0.2">
      <c r="B27" s="10">
        <f>RANK('8_pow. 50 r.ż.'!C26,'8_pow. 50 r.ż.'!$C$3:'8_pow. 50 r.ż.'!$C$28,1)+COUNTIF('8_pow. 50 r.ż.'!$C$3:'8_pow. 50 r.ż.'!C26,'8_pow. 50 r.ż.'!C26)-1</f>
        <v>25</v>
      </c>
      <c r="C27" s="8" t="str">
        <f>INDEX('8_pow. 50 r.ż.'!B3:G28,MATCH(24,B4:B29,0),1)</f>
        <v>rzeszowski</v>
      </c>
      <c r="D27" s="10">
        <f>INDEX('8_pow. 50 r.ż.'!B3:G28,MATCH(24,B4:B29,0),2)</f>
        <v>1297</v>
      </c>
      <c r="E27" s="9">
        <f>INDEX('8_pow. 50 r.ż.'!B3:G28,MATCH(24,B4:B29,0),3)</f>
        <v>1274</v>
      </c>
      <c r="F27" s="10">
        <f>INDEX('8_pow. 50 r.ż.'!B3:G28,MATCH(24,B4:B29,0),4)</f>
        <v>23</v>
      </c>
      <c r="G27" s="9">
        <f>INDEX('8_pow. 50 r.ż.'!B3:G28,MATCH(24,B4:B29,0),5)</f>
        <v>1330</v>
      </c>
      <c r="H27" s="10">
        <f>INDEX('8_pow. 50 r.ż.'!B3:G28,MATCH(24,B4:B29,0),6)</f>
        <v>-33</v>
      </c>
    </row>
    <row r="28" spans="2:8" x14ac:dyDescent="0.2">
      <c r="B28" s="10">
        <f>RANK('8_pow. 50 r.ż.'!C27,'8_pow. 50 r.ż.'!$C$3:'8_pow. 50 r.ż.'!$C$28,1)+COUNTIF('8_pow. 50 r.ż.'!$C$3:'8_pow. 50 r.ż.'!C27,'8_pow. 50 r.ż.'!C27)-1</f>
        <v>3</v>
      </c>
      <c r="C28" s="8" t="str">
        <f>INDEX('8_pow. 50 r.ż.'!B3:G28,MATCH(25,B4:B29,0),1)</f>
        <v>Rzeszów</v>
      </c>
      <c r="D28" s="10">
        <f>INDEX('8_pow. 50 r.ż.'!B3:G28,MATCH(25,B4:B29,0),2)</f>
        <v>1521</v>
      </c>
      <c r="E28" s="9">
        <f>INDEX('8_pow. 50 r.ż.'!B3:G28,MATCH(25,B4:B29,0),3)</f>
        <v>1517</v>
      </c>
      <c r="F28" s="10">
        <f>INDEX('8_pow. 50 r.ż.'!B3:G28,MATCH(25,B4:B29,0),4)</f>
        <v>4</v>
      </c>
      <c r="G28" s="9">
        <f>INDEX('8_pow. 50 r.ż.'!B3:G28,MATCH(25,B4:B29,0),5)</f>
        <v>1630</v>
      </c>
      <c r="H28" s="10">
        <f>INDEX('8_pow. 50 r.ż.'!B3:G28,MATCH(25,B4:B29,0),6)</f>
        <v>-109</v>
      </c>
    </row>
    <row r="29" spans="2:8" ht="15" x14ac:dyDescent="0.25">
      <c r="B29" s="34">
        <f>RANK('8_pow. 50 r.ż.'!C28,'8_pow. 50 r.ż.'!$C$3:'8_pow. 50 r.ż.'!$C$28,1)+COUNTIF('8_pow. 50 r.ż.'!$C$3:'8_pow. 50 r.ż.'!C28,'8_pow. 50 r.ż.'!C28)-1</f>
        <v>26</v>
      </c>
      <c r="C29" s="35" t="str">
        <f>INDEX('8_pow. 50 r.ż.'!B3:G28,MATCH(26,B4:B29,0),1)</f>
        <v>województwo</v>
      </c>
      <c r="D29" s="34">
        <f>INDEX('8_pow. 50 r.ż.'!B3:G28,MATCH(26,B4:B29,0),2)</f>
        <v>17856</v>
      </c>
      <c r="E29" s="17">
        <f>INDEX('8_pow. 50 r.ż.'!B3:G28,MATCH(26,B4:B29,0),3)</f>
        <v>17817</v>
      </c>
      <c r="F29" s="34">
        <f>INDEX('8_pow. 50 r.ż.'!B3:G28,MATCH(26,B4:B29,0),4)</f>
        <v>39</v>
      </c>
      <c r="G29" s="17">
        <f>INDEX('8_pow. 50 r.ż.'!B3:G28,MATCH(26,B4:B29,0),5)</f>
        <v>19024</v>
      </c>
      <c r="H29" s="34">
        <f>INDEX('8_pow. 50 r.ż.'!B3:G28,MATCH(26,B4:B29,0),6)</f>
        <v>-1168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59999389629810485"/>
    <pageSetUpPr fitToPage="1"/>
  </sheetPr>
  <dimension ref="B1:H31"/>
  <sheetViews>
    <sheetView zoomScale="80" zoomScaleNormal="80" workbookViewId="0">
      <selection activeCell="B1" sqref="B1"/>
    </sheetView>
  </sheetViews>
  <sheetFormatPr defaultRowHeight="14.25" x14ac:dyDescent="0.2"/>
  <cols>
    <col min="1" max="1" width="2.5703125" style="3" customWidth="1"/>
    <col min="2" max="2" width="25.140625" style="3" customWidth="1"/>
    <col min="3" max="4" width="11.5703125" style="3" customWidth="1"/>
    <col min="5" max="5" width="17.28515625" style="3" customWidth="1"/>
    <col min="6" max="6" width="11.28515625" style="3" customWidth="1"/>
    <col min="7" max="7" width="17.140625" style="3" customWidth="1"/>
    <col min="8" max="8" width="3.85546875" style="3" customWidth="1"/>
    <col min="9" max="16384" width="9.140625" style="3"/>
  </cols>
  <sheetData>
    <row r="1" spans="2:8" ht="20.25" customHeight="1" x14ac:dyDescent="0.2">
      <c r="B1" s="1" t="s">
        <v>30</v>
      </c>
      <c r="C1" s="70"/>
      <c r="D1" s="70"/>
      <c r="E1" s="70"/>
      <c r="F1" s="70"/>
      <c r="G1" s="70"/>
    </row>
    <row r="2" spans="2:8" ht="57" x14ac:dyDescent="0.2">
      <c r="B2" s="5" t="s">
        <v>27</v>
      </c>
      <c r="C2" s="6" t="s">
        <v>128</v>
      </c>
      <c r="D2" s="7" t="s">
        <v>109</v>
      </c>
      <c r="E2" s="6" t="s">
        <v>28</v>
      </c>
      <c r="F2" s="7" t="s">
        <v>129</v>
      </c>
      <c r="G2" s="6" t="s">
        <v>26</v>
      </c>
    </row>
    <row r="3" spans="2:8" x14ac:dyDescent="0.2">
      <c r="B3" s="8" t="s">
        <v>0</v>
      </c>
      <c r="C3" s="73">
        <v>72</v>
      </c>
      <c r="D3" s="9">
        <v>32</v>
      </c>
      <c r="E3" s="73">
        <f t="shared" ref="E3:E27" si="0">SUM(C3)-D3</f>
        <v>40</v>
      </c>
      <c r="F3" s="9">
        <v>58</v>
      </c>
      <c r="G3" s="73">
        <f t="shared" ref="G3:G27" si="1">SUM(C3)-F3</f>
        <v>14</v>
      </c>
      <c r="H3" s="11"/>
    </row>
    <row r="4" spans="2:8" x14ac:dyDescent="0.2">
      <c r="B4" s="8" t="s">
        <v>1</v>
      </c>
      <c r="C4" s="73">
        <v>54</v>
      </c>
      <c r="D4" s="9">
        <v>15</v>
      </c>
      <c r="E4" s="73">
        <f t="shared" si="0"/>
        <v>39</v>
      </c>
      <c r="F4" s="9">
        <v>74</v>
      </c>
      <c r="G4" s="73">
        <f t="shared" si="1"/>
        <v>-20</v>
      </c>
      <c r="H4" s="11"/>
    </row>
    <row r="5" spans="2:8" x14ac:dyDescent="0.2">
      <c r="B5" s="8" t="s">
        <v>2</v>
      </c>
      <c r="C5" s="73">
        <v>282</v>
      </c>
      <c r="D5" s="9">
        <v>197</v>
      </c>
      <c r="E5" s="73">
        <f t="shared" si="0"/>
        <v>85</v>
      </c>
      <c r="F5" s="9">
        <v>394</v>
      </c>
      <c r="G5" s="73">
        <f t="shared" si="1"/>
        <v>-112</v>
      </c>
      <c r="H5" s="11"/>
    </row>
    <row r="6" spans="2:8" x14ac:dyDescent="0.2">
      <c r="B6" s="8" t="s">
        <v>3</v>
      </c>
      <c r="C6" s="73">
        <v>359</v>
      </c>
      <c r="D6" s="9">
        <v>102</v>
      </c>
      <c r="E6" s="73">
        <f t="shared" si="0"/>
        <v>257</v>
      </c>
      <c r="F6" s="9">
        <v>345</v>
      </c>
      <c r="G6" s="73">
        <f t="shared" si="1"/>
        <v>14</v>
      </c>
      <c r="H6" s="11"/>
    </row>
    <row r="7" spans="2:8" x14ac:dyDescent="0.2">
      <c r="B7" s="8" t="s">
        <v>4</v>
      </c>
      <c r="C7" s="73">
        <v>240</v>
      </c>
      <c r="D7" s="9">
        <v>217</v>
      </c>
      <c r="E7" s="73">
        <f t="shared" si="0"/>
        <v>23</v>
      </c>
      <c r="F7" s="9">
        <v>173</v>
      </c>
      <c r="G7" s="73">
        <f t="shared" si="1"/>
        <v>67</v>
      </c>
      <c r="H7" s="11"/>
    </row>
    <row r="8" spans="2:8" x14ac:dyDescent="0.2">
      <c r="B8" s="8" t="s">
        <v>5</v>
      </c>
      <c r="C8" s="73">
        <v>151</v>
      </c>
      <c r="D8" s="9">
        <v>98</v>
      </c>
      <c r="E8" s="73">
        <f t="shared" si="0"/>
        <v>53</v>
      </c>
      <c r="F8" s="9">
        <v>130</v>
      </c>
      <c r="G8" s="73">
        <f t="shared" si="1"/>
        <v>21</v>
      </c>
      <c r="H8" s="11"/>
    </row>
    <row r="9" spans="2:8" x14ac:dyDescent="0.2">
      <c r="B9" s="13" t="s">
        <v>6</v>
      </c>
      <c r="C9" s="73">
        <v>98</v>
      </c>
      <c r="D9" s="9">
        <v>61</v>
      </c>
      <c r="E9" s="73">
        <f t="shared" si="0"/>
        <v>37</v>
      </c>
      <c r="F9" s="9">
        <v>140</v>
      </c>
      <c r="G9" s="73">
        <f t="shared" si="1"/>
        <v>-42</v>
      </c>
      <c r="H9" s="11"/>
    </row>
    <row r="10" spans="2:8" x14ac:dyDescent="0.2">
      <c r="B10" s="8" t="s">
        <v>7</v>
      </c>
      <c r="C10" s="73">
        <v>166</v>
      </c>
      <c r="D10" s="9">
        <v>14</v>
      </c>
      <c r="E10" s="73">
        <f t="shared" si="0"/>
        <v>152</v>
      </c>
      <c r="F10" s="9">
        <v>23</v>
      </c>
      <c r="G10" s="73">
        <f t="shared" si="1"/>
        <v>143</v>
      </c>
      <c r="H10" s="11"/>
    </row>
    <row r="11" spans="2:8" x14ac:dyDescent="0.2">
      <c r="B11" s="8" t="s">
        <v>8</v>
      </c>
      <c r="C11" s="73">
        <v>35</v>
      </c>
      <c r="D11" s="9">
        <v>58</v>
      </c>
      <c r="E11" s="73">
        <f t="shared" si="0"/>
        <v>-23</v>
      </c>
      <c r="F11" s="9">
        <v>252</v>
      </c>
      <c r="G11" s="73">
        <f t="shared" si="1"/>
        <v>-217</v>
      </c>
      <c r="H11" s="11"/>
    </row>
    <row r="12" spans="2:8" x14ac:dyDescent="0.2">
      <c r="B12" s="8" t="s">
        <v>9</v>
      </c>
      <c r="C12" s="73">
        <v>175</v>
      </c>
      <c r="D12" s="9">
        <v>33</v>
      </c>
      <c r="E12" s="73">
        <f t="shared" si="0"/>
        <v>142</v>
      </c>
      <c r="F12" s="9">
        <v>94</v>
      </c>
      <c r="G12" s="73">
        <f t="shared" si="1"/>
        <v>81</v>
      </c>
      <c r="H12" s="11"/>
    </row>
    <row r="13" spans="2:8" x14ac:dyDescent="0.2">
      <c r="B13" s="8" t="s">
        <v>10</v>
      </c>
      <c r="C13" s="73">
        <v>101</v>
      </c>
      <c r="D13" s="9">
        <v>106</v>
      </c>
      <c r="E13" s="73">
        <f t="shared" si="0"/>
        <v>-5</v>
      </c>
      <c r="F13" s="9">
        <v>144</v>
      </c>
      <c r="G13" s="73">
        <f t="shared" si="1"/>
        <v>-43</v>
      </c>
      <c r="H13" s="11"/>
    </row>
    <row r="14" spans="2:8" x14ac:dyDescent="0.2">
      <c r="B14" s="8" t="s">
        <v>11</v>
      </c>
      <c r="C14" s="73">
        <v>150</v>
      </c>
      <c r="D14" s="9">
        <v>155</v>
      </c>
      <c r="E14" s="73">
        <f t="shared" si="0"/>
        <v>-5</v>
      </c>
      <c r="F14" s="9">
        <v>345</v>
      </c>
      <c r="G14" s="73">
        <f t="shared" si="1"/>
        <v>-195</v>
      </c>
      <c r="H14" s="11"/>
    </row>
    <row r="15" spans="2:8" x14ac:dyDescent="0.2">
      <c r="B15" s="8" t="s">
        <v>12</v>
      </c>
      <c r="C15" s="73">
        <v>364</v>
      </c>
      <c r="D15" s="9">
        <v>55</v>
      </c>
      <c r="E15" s="73">
        <f t="shared" si="0"/>
        <v>309</v>
      </c>
      <c r="F15" s="9">
        <v>108</v>
      </c>
      <c r="G15" s="73">
        <f t="shared" si="1"/>
        <v>256</v>
      </c>
      <c r="H15" s="11"/>
    </row>
    <row r="16" spans="2:8" x14ac:dyDescent="0.2">
      <c r="B16" s="8" t="s">
        <v>13</v>
      </c>
      <c r="C16" s="73">
        <v>122</v>
      </c>
      <c r="D16" s="9">
        <v>42</v>
      </c>
      <c r="E16" s="73">
        <f t="shared" si="0"/>
        <v>80</v>
      </c>
      <c r="F16" s="9">
        <v>82</v>
      </c>
      <c r="G16" s="73">
        <f t="shared" si="1"/>
        <v>40</v>
      </c>
      <c r="H16" s="11"/>
    </row>
    <row r="17" spans="2:8" x14ac:dyDescent="0.2">
      <c r="B17" s="8" t="s">
        <v>14</v>
      </c>
      <c r="C17" s="73">
        <v>61</v>
      </c>
      <c r="D17" s="9">
        <v>331</v>
      </c>
      <c r="E17" s="73">
        <f t="shared" si="0"/>
        <v>-270</v>
      </c>
      <c r="F17" s="9">
        <v>163</v>
      </c>
      <c r="G17" s="73">
        <f t="shared" si="1"/>
        <v>-102</v>
      </c>
      <c r="H17" s="11"/>
    </row>
    <row r="18" spans="2:8" x14ac:dyDescent="0.2">
      <c r="B18" s="8" t="s">
        <v>15</v>
      </c>
      <c r="C18" s="73">
        <v>76</v>
      </c>
      <c r="D18" s="9">
        <v>129</v>
      </c>
      <c r="E18" s="73">
        <f t="shared" si="0"/>
        <v>-53</v>
      </c>
      <c r="F18" s="9">
        <v>137</v>
      </c>
      <c r="G18" s="73">
        <f t="shared" si="1"/>
        <v>-61</v>
      </c>
      <c r="H18" s="11"/>
    </row>
    <row r="19" spans="2:8" x14ac:dyDescent="0.2">
      <c r="B19" s="8" t="s">
        <v>16</v>
      </c>
      <c r="C19" s="73">
        <v>248</v>
      </c>
      <c r="D19" s="9">
        <v>135</v>
      </c>
      <c r="E19" s="73">
        <f t="shared" si="0"/>
        <v>113</v>
      </c>
      <c r="F19" s="9">
        <v>126</v>
      </c>
      <c r="G19" s="73">
        <f t="shared" si="1"/>
        <v>122</v>
      </c>
      <c r="H19" s="11"/>
    </row>
    <row r="20" spans="2:8" x14ac:dyDescent="0.2">
      <c r="B20" s="8" t="s">
        <v>17</v>
      </c>
      <c r="C20" s="73">
        <v>93</v>
      </c>
      <c r="D20" s="9">
        <v>64</v>
      </c>
      <c r="E20" s="73">
        <f t="shared" si="0"/>
        <v>29</v>
      </c>
      <c r="F20" s="9">
        <v>86</v>
      </c>
      <c r="G20" s="73">
        <f t="shared" si="1"/>
        <v>7</v>
      </c>
      <c r="H20" s="11"/>
    </row>
    <row r="21" spans="2:8" x14ac:dyDescent="0.2">
      <c r="B21" s="8" t="s">
        <v>18</v>
      </c>
      <c r="C21" s="73">
        <v>138</v>
      </c>
      <c r="D21" s="9">
        <v>213</v>
      </c>
      <c r="E21" s="73">
        <f t="shared" si="0"/>
        <v>-75</v>
      </c>
      <c r="F21" s="9">
        <v>132</v>
      </c>
      <c r="G21" s="73">
        <f t="shared" si="1"/>
        <v>6</v>
      </c>
      <c r="H21" s="11"/>
    </row>
    <row r="22" spans="2:8" x14ac:dyDescent="0.2">
      <c r="B22" s="8" t="s">
        <v>19</v>
      </c>
      <c r="C22" s="73">
        <v>628</v>
      </c>
      <c r="D22" s="9">
        <v>110</v>
      </c>
      <c r="E22" s="73">
        <f t="shared" si="0"/>
        <v>518</v>
      </c>
      <c r="F22" s="9">
        <v>161</v>
      </c>
      <c r="G22" s="73">
        <f t="shared" si="1"/>
        <v>467</v>
      </c>
      <c r="H22" s="11"/>
    </row>
    <row r="23" spans="2:8" x14ac:dyDescent="0.2">
      <c r="B23" s="8" t="s">
        <v>20</v>
      </c>
      <c r="C23" s="73">
        <v>46</v>
      </c>
      <c r="D23" s="9">
        <v>63</v>
      </c>
      <c r="E23" s="73">
        <f t="shared" si="0"/>
        <v>-17</v>
      </c>
      <c r="F23" s="9">
        <v>150</v>
      </c>
      <c r="G23" s="73">
        <f t="shared" si="1"/>
        <v>-104</v>
      </c>
      <c r="H23" s="11"/>
    </row>
    <row r="24" spans="2:8" x14ac:dyDescent="0.2">
      <c r="B24" s="8" t="s">
        <v>21</v>
      </c>
      <c r="C24" s="73">
        <v>186</v>
      </c>
      <c r="D24" s="9">
        <v>58</v>
      </c>
      <c r="E24" s="73">
        <f t="shared" si="0"/>
        <v>128</v>
      </c>
      <c r="F24" s="9">
        <v>89</v>
      </c>
      <c r="G24" s="73">
        <f t="shared" si="1"/>
        <v>97</v>
      </c>
      <c r="H24" s="11"/>
    </row>
    <row r="25" spans="2:8" x14ac:dyDescent="0.2">
      <c r="B25" s="8" t="s">
        <v>22</v>
      </c>
      <c r="C25" s="73">
        <v>194</v>
      </c>
      <c r="D25" s="9">
        <v>208</v>
      </c>
      <c r="E25" s="73">
        <f t="shared" si="0"/>
        <v>-14</v>
      </c>
      <c r="F25" s="9">
        <v>93</v>
      </c>
      <c r="G25" s="73">
        <f t="shared" si="1"/>
        <v>101</v>
      </c>
      <c r="H25" s="11"/>
    </row>
    <row r="26" spans="2:8" x14ac:dyDescent="0.2">
      <c r="B26" s="8" t="s">
        <v>23</v>
      </c>
      <c r="C26" s="73">
        <v>142</v>
      </c>
      <c r="D26" s="9">
        <v>672</v>
      </c>
      <c r="E26" s="73">
        <f t="shared" si="0"/>
        <v>-530</v>
      </c>
      <c r="F26" s="9">
        <v>607</v>
      </c>
      <c r="G26" s="73">
        <f t="shared" si="1"/>
        <v>-465</v>
      </c>
      <c r="H26" s="11"/>
    </row>
    <row r="27" spans="2:8" x14ac:dyDescent="0.2">
      <c r="B27" s="8" t="s">
        <v>24</v>
      </c>
      <c r="C27" s="73">
        <v>89</v>
      </c>
      <c r="D27" s="9">
        <v>78</v>
      </c>
      <c r="E27" s="73">
        <f t="shared" si="0"/>
        <v>11</v>
      </c>
      <c r="F27" s="9">
        <v>81</v>
      </c>
      <c r="G27" s="73">
        <f t="shared" si="1"/>
        <v>8</v>
      </c>
      <c r="H27" s="11"/>
    </row>
    <row r="28" spans="2:8" ht="15" x14ac:dyDescent="0.25">
      <c r="B28" s="15" t="s">
        <v>25</v>
      </c>
      <c r="C28" s="74">
        <f>SUM(C3:C27)</f>
        <v>4270</v>
      </c>
      <c r="D28" s="17">
        <f>SUM(D3:D27)</f>
        <v>3246</v>
      </c>
      <c r="E28" s="74">
        <f>SUM(E3:E27)</f>
        <v>1024</v>
      </c>
      <c r="F28" s="17">
        <f>SUM(F3:F27)</f>
        <v>4187</v>
      </c>
      <c r="G28" s="74">
        <f>SUM(G3:G27)</f>
        <v>83</v>
      </c>
      <c r="H28" s="11"/>
    </row>
    <row r="29" spans="2:8" ht="12" customHeight="1" x14ac:dyDescent="0.2">
      <c r="B29" s="4"/>
      <c r="E29" s="11"/>
      <c r="G29" s="11"/>
    </row>
    <row r="30" spans="2:8" ht="9" customHeight="1" x14ac:dyDescent="0.2">
      <c r="B30" s="4"/>
    </row>
    <row r="31" spans="2:8" ht="12.75" customHeight="1" x14ac:dyDescent="0.2">
      <c r="B31" s="4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.140625" style="3" customWidth="1"/>
    <col min="2" max="2" width="6.5703125" style="3" customWidth="1"/>
    <col min="3" max="3" width="24.42578125" style="3" customWidth="1"/>
    <col min="4" max="4" width="12" style="3" customWidth="1"/>
    <col min="5" max="5" width="11.5703125" style="3" customWidth="1"/>
    <col min="6" max="6" width="17" style="3" customWidth="1"/>
    <col min="7" max="7" width="11.5703125" style="3" customWidth="1"/>
    <col min="8" max="8" width="17.140625" style="3" customWidth="1"/>
    <col min="9" max="9" width="6.7109375" style="3" customWidth="1"/>
    <col min="10" max="11" width="5.85546875" style="3" customWidth="1"/>
    <col min="12" max="18" width="9.140625" style="3"/>
    <col min="19" max="19" width="7.140625" style="3" customWidth="1"/>
    <col min="20" max="20" width="2" style="3" customWidth="1"/>
    <col min="21" max="16384" width="9.140625" style="3"/>
  </cols>
  <sheetData>
    <row r="1" spans="2:8" x14ac:dyDescent="0.2">
      <c r="B1" s="4" t="s">
        <v>30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T('9_oferty p.'!B2)</f>
        <v>powiaty</v>
      </c>
      <c r="D3" s="5" t="str">
        <f>T('9_oferty p.'!C2)</f>
        <v>liczba ofert w II '23 r.</v>
      </c>
      <c r="E3" s="5" t="str">
        <f>T('9_oferty p.'!D2)</f>
        <v>liczba ofert w I '23 r.</v>
      </c>
      <c r="F3" s="5" t="str">
        <f>T('9_oferty p.'!E2)</f>
        <v>wzrost/spadek do poprzedniego  miesiąca</v>
      </c>
      <c r="G3" s="5" t="str">
        <f>T('9_oferty p.'!F2)</f>
        <v>liczba ofert w II '22 r.</v>
      </c>
      <c r="H3" s="5" t="str">
        <f>T('9_oferty p.'!G2)</f>
        <v>wzrost/spadek do analogicznego okresu ubr.</v>
      </c>
    </row>
    <row r="4" spans="2:8" x14ac:dyDescent="0.2">
      <c r="B4" s="10">
        <f>RANK('9_oferty p.'!C3,'9_oferty p.'!$C$3:'9_oferty p.'!$C$28,1)+COUNTIF('9_oferty p.'!$C$3:'9_oferty p.'!C3,'9_oferty p.'!C3)-1</f>
        <v>5</v>
      </c>
      <c r="C4" s="8" t="str">
        <f>INDEX('9_oferty p.'!B3:G28,MATCH(1,B4:B29,0),1)</f>
        <v>leżajski</v>
      </c>
      <c r="D4" s="39">
        <f>INDEX('9_oferty p.'!B3:G28,MATCH(1,B4:B29,0),2)</f>
        <v>35</v>
      </c>
      <c r="E4" s="9">
        <f>INDEX('9_oferty p.'!B3:G28,MATCH(1,B4:B29,0),3)</f>
        <v>58</v>
      </c>
      <c r="F4" s="10">
        <f>INDEX('9_oferty p.'!B3:G28,MATCH(1,B4:B29,0),4)</f>
        <v>-23</v>
      </c>
      <c r="G4" s="9">
        <f>INDEX('9_oferty p.'!B3:G28,MATCH(1,B4:B29,0),5)</f>
        <v>252</v>
      </c>
      <c r="H4" s="10">
        <f>INDEX('9_oferty p.'!B3:G28,MATCH(1,B4:B29,0),6)</f>
        <v>-217</v>
      </c>
    </row>
    <row r="5" spans="2:8" x14ac:dyDescent="0.2">
      <c r="B5" s="10">
        <f>RANK('9_oferty p.'!C4,'9_oferty p.'!$C$3:'9_oferty p.'!$C$28,1)+COUNTIF('9_oferty p.'!$C$3:'9_oferty p.'!C4,'9_oferty p.'!C4)-1</f>
        <v>3</v>
      </c>
      <c r="C5" s="8" t="str">
        <f>INDEX('9_oferty p.'!B3:G28,MATCH(2,B4:B29,0),1)</f>
        <v xml:space="preserve">tarnobrzeski </v>
      </c>
      <c r="D5" s="10">
        <f>INDEX('9_oferty p.'!B3:G28,MATCH(2,B4:B29,0),2)</f>
        <v>46</v>
      </c>
      <c r="E5" s="9">
        <f>INDEX('9_oferty p.'!B3:G28,MATCH(2,B4:B29,0),3)</f>
        <v>63</v>
      </c>
      <c r="F5" s="10">
        <f>INDEX('9_oferty p.'!B3:G28,MATCH(2,B4:B29,0),4)</f>
        <v>-17</v>
      </c>
      <c r="G5" s="9">
        <f>INDEX('9_oferty p.'!B3:G28,MATCH(2,B4:B29,0),5)</f>
        <v>150</v>
      </c>
      <c r="H5" s="10">
        <f>INDEX('9_oferty p.'!B3:G28,MATCH(2,B4:B29,0),6)</f>
        <v>-104</v>
      </c>
    </row>
    <row r="6" spans="2:8" x14ac:dyDescent="0.2">
      <c r="B6" s="10">
        <f>RANK('9_oferty p.'!C5,'9_oferty p.'!$C$3:'9_oferty p.'!$C$28,1)+COUNTIF('9_oferty p.'!$C$3:'9_oferty p.'!C5,'9_oferty p.'!C5)-1</f>
        <v>22</v>
      </c>
      <c r="C6" s="8" t="str">
        <f>INDEX('9_oferty p.'!B3:G28,MATCH(3,B4:B29,0),1)</f>
        <v>brzozowski</v>
      </c>
      <c r="D6" s="10">
        <f>INDEX('9_oferty p.'!B3:G28,MATCH(3,B4:B29,0),2)</f>
        <v>54</v>
      </c>
      <c r="E6" s="9">
        <f>INDEX('9_oferty p.'!B3:G28,MATCH(3,B4:B29,0),3)</f>
        <v>15</v>
      </c>
      <c r="F6" s="10">
        <f>INDEX('9_oferty p.'!B3:G28,MATCH(3,B4:B29,0),4)</f>
        <v>39</v>
      </c>
      <c r="G6" s="9">
        <f>INDEX('9_oferty p.'!B3:G28,MATCH(3,B4:B29,0),5)</f>
        <v>74</v>
      </c>
      <c r="H6" s="10">
        <f>INDEX('9_oferty p.'!B3:G28,MATCH(3,B4:B29,0),6)</f>
        <v>-20</v>
      </c>
    </row>
    <row r="7" spans="2:8" x14ac:dyDescent="0.2">
      <c r="B7" s="10">
        <f>RANK('9_oferty p.'!C6,'9_oferty p.'!$C$3:'9_oferty p.'!$C$28,1)+COUNTIF('9_oferty p.'!$C$3:'9_oferty p.'!C6,'9_oferty p.'!C6)-1</f>
        <v>23</v>
      </c>
      <c r="C7" s="8" t="str">
        <f>INDEX('9_oferty p.'!B3:G28,MATCH(4,B4:B29,0),1)</f>
        <v>przeworski</v>
      </c>
      <c r="D7" s="10">
        <f>INDEX('9_oferty p.'!B3:G28,MATCH(4,B4:B29,0),2)</f>
        <v>61</v>
      </c>
      <c r="E7" s="9">
        <f>INDEX('9_oferty p.'!B3:G28,MATCH(4,B4:B29,0),3)</f>
        <v>331</v>
      </c>
      <c r="F7" s="10">
        <f>INDEX('9_oferty p.'!B3:G28,MATCH(4,B4:B29,0),4)</f>
        <v>-270</v>
      </c>
      <c r="G7" s="9">
        <f>INDEX('9_oferty p.'!B3:G28,MATCH(4,B4:B29,0),5)</f>
        <v>163</v>
      </c>
      <c r="H7" s="10">
        <f>INDEX('9_oferty p.'!B3:G28,MATCH(4,B4:B29,0),6)</f>
        <v>-102</v>
      </c>
    </row>
    <row r="8" spans="2:8" x14ac:dyDescent="0.2">
      <c r="B8" s="10">
        <f>RANK('9_oferty p.'!C7,'9_oferty p.'!$C$3:'9_oferty p.'!$C$28,1)+COUNTIF('9_oferty p.'!$C$3:'9_oferty p.'!C7,'9_oferty p.'!C7)-1</f>
        <v>20</v>
      </c>
      <c r="C8" s="8" t="str">
        <f>INDEX('9_oferty p.'!B3:G28,MATCH(5,B4:B29,0),1)</f>
        <v>bieszczadzki</v>
      </c>
      <c r="D8" s="10">
        <f>INDEX('9_oferty p.'!B3:G28,MATCH(5,B4:B29,0),2)</f>
        <v>72</v>
      </c>
      <c r="E8" s="9">
        <f>INDEX('9_oferty p.'!B3:G28,MATCH(5,B4:B29,0),3)</f>
        <v>32</v>
      </c>
      <c r="F8" s="10">
        <f>INDEX('9_oferty p.'!B3:G28,MATCH(5,B4:B29,0),4)</f>
        <v>40</v>
      </c>
      <c r="G8" s="9">
        <f>INDEX('9_oferty p.'!B3:G28,MATCH(5,B4:B29,0),5)</f>
        <v>58</v>
      </c>
      <c r="H8" s="10">
        <f>INDEX('9_oferty p.'!B3:G28,MATCH(5,B4:B29,0),6)</f>
        <v>14</v>
      </c>
    </row>
    <row r="9" spans="2:8" x14ac:dyDescent="0.2">
      <c r="B9" s="10">
        <f>RANK('9_oferty p.'!C8,'9_oferty p.'!$C$3:'9_oferty p.'!$C$28,1)+COUNTIF('9_oferty p.'!$C$3:'9_oferty p.'!C8,'9_oferty p.'!C8)-1</f>
        <v>15</v>
      </c>
      <c r="C9" s="8" t="str">
        <f>INDEX('9_oferty p.'!B3:G28,MATCH(6,B4:B29,0),1)</f>
        <v>ropczycko-sędziszowski</v>
      </c>
      <c r="D9" s="10">
        <f>INDEX('9_oferty p.'!B3:G28,MATCH(6,B4:B29,0),2)</f>
        <v>76</v>
      </c>
      <c r="E9" s="9">
        <f>INDEX('9_oferty p.'!B3:G28,MATCH(6,B4:B29,0),3)</f>
        <v>129</v>
      </c>
      <c r="F9" s="10">
        <f>INDEX('9_oferty p.'!B3:G28,MATCH(6,B4:B29,0),4)</f>
        <v>-53</v>
      </c>
      <c r="G9" s="9">
        <f>INDEX('9_oferty p.'!B3:G28,MATCH(6,B4:B29,0),5)</f>
        <v>137</v>
      </c>
      <c r="H9" s="10">
        <f>INDEX('9_oferty p.'!B3:G28,MATCH(6,B4:B29,0),6)</f>
        <v>-61</v>
      </c>
    </row>
    <row r="10" spans="2:8" x14ac:dyDescent="0.2">
      <c r="B10" s="10">
        <f>RANK('9_oferty p.'!C9,'9_oferty p.'!$C$3:'9_oferty p.'!$C$28,1)+COUNTIF('9_oferty p.'!$C$3:'9_oferty p.'!C9,'9_oferty p.'!C9)-1</f>
        <v>9</v>
      </c>
      <c r="C10" s="13" t="str">
        <f>INDEX('9_oferty p.'!B3:G28,MATCH(7,B4:B29,0),1)</f>
        <v>Tarnobrzeg</v>
      </c>
      <c r="D10" s="10">
        <f>INDEX('9_oferty p.'!B3:G28,MATCH(7,B4:B29,0),2)</f>
        <v>89</v>
      </c>
      <c r="E10" s="9">
        <f>INDEX('9_oferty p.'!B3:G28,MATCH(7,B4:B29,0),3)</f>
        <v>78</v>
      </c>
      <c r="F10" s="10">
        <f>INDEX('9_oferty p.'!B3:G28,MATCH(7,B4:B29,0),4)</f>
        <v>11</v>
      </c>
      <c r="G10" s="9">
        <f>INDEX('9_oferty p.'!B3:G28,MATCH(7,B4:B29,0),5)</f>
        <v>81</v>
      </c>
      <c r="H10" s="10">
        <f>INDEX('9_oferty p.'!B3:G28,MATCH(7,B4:B29,0),6)</f>
        <v>8</v>
      </c>
    </row>
    <row r="11" spans="2:8" x14ac:dyDescent="0.2">
      <c r="B11" s="10">
        <f>RANK('9_oferty p.'!C10,'9_oferty p.'!$C$3:'9_oferty p.'!$C$28,1)+COUNTIF('9_oferty p.'!$C$3:'9_oferty p.'!C10,'9_oferty p.'!C10)-1</f>
        <v>16</v>
      </c>
      <c r="C11" s="8" t="str">
        <f>INDEX('9_oferty p.'!B3:G28,MATCH(8,B4:B29,0),1)</f>
        <v>sanocki</v>
      </c>
      <c r="D11" s="10">
        <f>INDEX('9_oferty p.'!B3:G28,MATCH(8,B4:B29,0),2)</f>
        <v>93</v>
      </c>
      <c r="E11" s="9">
        <f>INDEX('9_oferty p.'!B3:G28,MATCH(8,B4:B29,0),3)</f>
        <v>64</v>
      </c>
      <c r="F11" s="10">
        <f>INDEX('9_oferty p.'!B3:G28,MATCH(8,B4:B29,0),4)</f>
        <v>29</v>
      </c>
      <c r="G11" s="9">
        <f>INDEX('9_oferty p.'!B3:G28,MATCH(8,B4:B29,0),5)</f>
        <v>86</v>
      </c>
      <c r="H11" s="10">
        <f>INDEX('9_oferty p.'!B3:G28,MATCH(8,B4:B29,0),6)</f>
        <v>7</v>
      </c>
    </row>
    <row r="12" spans="2:8" x14ac:dyDescent="0.2">
      <c r="B12" s="10">
        <f>RANK('9_oferty p.'!C11,'9_oferty p.'!$C$3:'9_oferty p.'!$C$28,1)+COUNTIF('9_oferty p.'!$C$3:'9_oferty p.'!C11,'9_oferty p.'!C11)-1</f>
        <v>1</v>
      </c>
      <c r="C12" s="8" t="str">
        <f>INDEX('9_oferty p.'!B3:G28,MATCH(9,B4:B29,0),1)</f>
        <v>krośnieński</v>
      </c>
      <c r="D12" s="10">
        <f>INDEX('9_oferty p.'!B3:G28,MATCH(9,B4:B29,0),2)</f>
        <v>98</v>
      </c>
      <c r="E12" s="9">
        <f>INDEX('9_oferty p.'!B3:G28,MATCH(9,B4:B29,0),3)</f>
        <v>61</v>
      </c>
      <c r="F12" s="10">
        <f>INDEX('9_oferty p.'!B3:G28,MATCH(9,B4:B29,0),4)</f>
        <v>37</v>
      </c>
      <c r="G12" s="9">
        <f>INDEX('9_oferty p.'!B3:G28,MATCH(9,B4:B29,0),5)</f>
        <v>140</v>
      </c>
      <c r="H12" s="10">
        <f>INDEX('9_oferty p.'!B3:G28,MATCH(9,B4:B29,0),6)</f>
        <v>-42</v>
      </c>
    </row>
    <row r="13" spans="2:8" x14ac:dyDescent="0.2">
      <c r="B13" s="10">
        <f>RANK('9_oferty p.'!C12,'9_oferty p.'!$C$3:'9_oferty p.'!$C$28,1)+COUNTIF('9_oferty p.'!$C$3:'9_oferty p.'!C12,'9_oferty p.'!C12)-1</f>
        <v>17</v>
      </c>
      <c r="C13" s="8" t="str">
        <f>INDEX('9_oferty p.'!B3:G28,MATCH(10,B4:B29,0),1)</f>
        <v>łańcucki</v>
      </c>
      <c r="D13" s="10">
        <f>INDEX('9_oferty p.'!B3:G28,MATCH(10,B4:B29,0),2)</f>
        <v>101</v>
      </c>
      <c r="E13" s="9">
        <f>INDEX('9_oferty p.'!B3:G28,MATCH(10,B4:B29,0),3)</f>
        <v>106</v>
      </c>
      <c r="F13" s="10">
        <f>INDEX('9_oferty p.'!B3:G28,MATCH(10,B4:B29,0),4)</f>
        <v>-5</v>
      </c>
      <c r="G13" s="9">
        <f>INDEX('9_oferty p.'!B3:G28,MATCH(10,B4:B29,0),5)</f>
        <v>144</v>
      </c>
      <c r="H13" s="10">
        <f>INDEX('9_oferty p.'!B3:G28,MATCH(10,B4:B29,0),6)</f>
        <v>-43</v>
      </c>
    </row>
    <row r="14" spans="2:8" x14ac:dyDescent="0.2">
      <c r="B14" s="10">
        <f>RANK('9_oferty p.'!C13,'9_oferty p.'!$C$3:'9_oferty p.'!$C$28,1)+COUNTIF('9_oferty p.'!$C$3:'9_oferty p.'!C13,'9_oferty p.'!C13)-1</f>
        <v>10</v>
      </c>
      <c r="C14" s="8" t="str">
        <f>INDEX('9_oferty p.'!B3:G28,MATCH(11,B4:B29,0),1)</f>
        <v>przemyski</v>
      </c>
      <c r="D14" s="10">
        <f>INDEX('9_oferty p.'!B3:G28,MATCH(11,B4:B29,0),2)</f>
        <v>122</v>
      </c>
      <c r="E14" s="9">
        <f>INDEX('9_oferty p.'!B3:G28,MATCH(11,B4:B29,0),3)</f>
        <v>42</v>
      </c>
      <c r="F14" s="10">
        <f>INDEX('9_oferty p.'!B3:G28,MATCH(11,B4:B29,0),4)</f>
        <v>80</v>
      </c>
      <c r="G14" s="9">
        <f>INDEX('9_oferty p.'!B3:G28,MATCH(11,B4:B29,0),5)</f>
        <v>82</v>
      </c>
      <c r="H14" s="10">
        <f>INDEX('9_oferty p.'!B3:G28,MATCH(11,B4:B29,0),6)</f>
        <v>40</v>
      </c>
    </row>
    <row r="15" spans="2:8" x14ac:dyDescent="0.2">
      <c r="B15" s="10">
        <f>RANK('9_oferty p.'!C14,'9_oferty p.'!$C$3:'9_oferty p.'!$C$28,1)+COUNTIF('9_oferty p.'!$C$3:'9_oferty p.'!C14,'9_oferty p.'!C14)-1</f>
        <v>14</v>
      </c>
      <c r="C15" s="8" t="str">
        <f>INDEX('9_oferty p.'!B3:G28,MATCH(12,B4:B29,0),1)</f>
        <v>stalowowolski</v>
      </c>
      <c r="D15" s="10">
        <f>INDEX('9_oferty p.'!B3:G28,MATCH(12,B4:B29,0),2)</f>
        <v>138</v>
      </c>
      <c r="E15" s="9">
        <f>INDEX('9_oferty p.'!B3:G28,MATCH(12,B4:B29,0),3)</f>
        <v>213</v>
      </c>
      <c r="F15" s="10">
        <f>INDEX('9_oferty p.'!B3:G28,MATCH(12,B4:B29,0),4)</f>
        <v>-75</v>
      </c>
      <c r="G15" s="9">
        <f>INDEX('9_oferty p.'!B3:G28,MATCH(12,B4:B29,0),5)</f>
        <v>132</v>
      </c>
      <c r="H15" s="10">
        <f>INDEX('9_oferty p.'!B3:G28,MATCH(12,B4:B29,0),6)</f>
        <v>6</v>
      </c>
    </row>
    <row r="16" spans="2:8" x14ac:dyDescent="0.2">
      <c r="B16" s="10">
        <f>RANK('9_oferty p.'!C15,'9_oferty p.'!$C$3:'9_oferty p.'!$C$28,1)+COUNTIF('9_oferty p.'!$C$3:'9_oferty p.'!C15,'9_oferty p.'!C15)-1</f>
        <v>24</v>
      </c>
      <c r="C16" s="8" t="str">
        <f>INDEX('9_oferty p.'!B3:G28,MATCH(13,B4:B29,0),1)</f>
        <v>Rzeszów</v>
      </c>
      <c r="D16" s="10">
        <f>INDEX('9_oferty p.'!B3:G28,MATCH(13,B4:B29,0),2)</f>
        <v>142</v>
      </c>
      <c r="E16" s="9">
        <f>INDEX('9_oferty p.'!B3:G28,MATCH(13,B4:B29,0),3)</f>
        <v>672</v>
      </c>
      <c r="F16" s="10">
        <f>INDEX('9_oferty p.'!B3:G28,MATCH(13,B4:B29,0),4)</f>
        <v>-530</v>
      </c>
      <c r="G16" s="9">
        <f>INDEX('9_oferty p.'!B3:G28,MATCH(13,B4:B29,0),5)</f>
        <v>607</v>
      </c>
      <c r="H16" s="10">
        <f>INDEX('9_oferty p.'!B3:G28,MATCH(13,B4:B29,0),6)</f>
        <v>-465</v>
      </c>
    </row>
    <row r="17" spans="2:8" x14ac:dyDescent="0.2">
      <c r="B17" s="10">
        <f>RANK('9_oferty p.'!C16,'9_oferty p.'!$C$3:'9_oferty p.'!$C$28,1)+COUNTIF('9_oferty p.'!$C$3:'9_oferty p.'!C16,'9_oferty p.'!C16)-1</f>
        <v>11</v>
      </c>
      <c r="C17" s="8" t="str">
        <f>INDEX('9_oferty p.'!B3:G28,MATCH(14,B4:B29,0),1)</f>
        <v>mielecki</v>
      </c>
      <c r="D17" s="10">
        <f>INDEX('9_oferty p.'!B3:G28,MATCH(14,B4:B29,0),2)</f>
        <v>150</v>
      </c>
      <c r="E17" s="9">
        <f>INDEX('9_oferty p.'!B3:G28,MATCH(14,B4:B29,0),3)</f>
        <v>155</v>
      </c>
      <c r="F17" s="10">
        <f>INDEX('9_oferty p.'!B3:G28,MATCH(14,B4:B29,0),4)</f>
        <v>-5</v>
      </c>
      <c r="G17" s="9">
        <f>INDEX('9_oferty p.'!B3:G28,MATCH(14,B4:B29,0),5)</f>
        <v>345</v>
      </c>
      <c r="H17" s="10">
        <f>INDEX('9_oferty p.'!B3:G28,MATCH(14,B4:B29,0),6)</f>
        <v>-195</v>
      </c>
    </row>
    <row r="18" spans="2:8" x14ac:dyDescent="0.2">
      <c r="B18" s="10">
        <f>RANK('9_oferty p.'!C17,'9_oferty p.'!$C$3:'9_oferty p.'!$C$28,1)+COUNTIF('9_oferty p.'!$C$3:'9_oferty p.'!C17,'9_oferty p.'!C17)-1</f>
        <v>4</v>
      </c>
      <c r="C18" s="8" t="str">
        <f>INDEX('9_oferty p.'!B3:G28,MATCH(15,B4:B29,0),1)</f>
        <v>kolbuszowski</v>
      </c>
      <c r="D18" s="10">
        <f>INDEX('9_oferty p.'!B3:G28,MATCH(15,B4:B29,0),2)</f>
        <v>151</v>
      </c>
      <c r="E18" s="9">
        <f>INDEX('9_oferty p.'!B3:G28,MATCH(15,B4:B29,0),3)</f>
        <v>98</v>
      </c>
      <c r="F18" s="10">
        <f>INDEX('9_oferty p.'!B3:G28,MATCH(15,B4:B29,0),4)</f>
        <v>53</v>
      </c>
      <c r="G18" s="9">
        <f>INDEX('9_oferty p.'!B3:G28,MATCH(15,B4:B29,0),5)</f>
        <v>130</v>
      </c>
      <c r="H18" s="10">
        <f>INDEX('9_oferty p.'!B3:G28,MATCH(15,B4:B29,0),6)</f>
        <v>21</v>
      </c>
    </row>
    <row r="19" spans="2:8" x14ac:dyDescent="0.2">
      <c r="B19" s="10">
        <f>RANK('9_oferty p.'!C18,'9_oferty p.'!$C$3:'9_oferty p.'!$C$28,1)+COUNTIF('9_oferty p.'!$C$3:'9_oferty p.'!C18,'9_oferty p.'!C18)-1</f>
        <v>6</v>
      </c>
      <c r="C19" s="8" t="str">
        <f>INDEX('9_oferty p.'!B3:G28,MATCH(16,B4:B29,0),1)</f>
        <v>leski</v>
      </c>
      <c r="D19" s="10">
        <f>INDEX('9_oferty p.'!B3:G28,MATCH(16,B4:B29,0),2)</f>
        <v>166</v>
      </c>
      <c r="E19" s="9">
        <f>INDEX('9_oferty p.'!B3:G28,MATCH(16,B4:B29,0),3)</f>
        <v>14</v>
      </c>
      <c r="F19" s="10">
        <f>INDEX('9_oferty p.'!B3:G28,MATCH(16,B4:B29,0),4)</f>
        <v>152</v>
      </c>
      <c r="G19" s="9">
        <f>INDEX('9_oferty p.'!B3:G28,MATCH(16,B4:B29,0),5)</f>
        <v>23</v>
      </c>
      <c r="H19" s="10">
        <f>INDEX('9_oferty p.'!B3:G28,MATCH(16,B4:B29,0),6)</f>
        <v>143</v>
      </c>
    </row>
    <row r="20" spans="2:8" x14ac:dyDescent="0.2">
      <c r="B20" s="10">
        <f>RANK('9_oferty p.'!C19,'9_oferty p.'!$C$3:'9_oferty p.'!$C$28,1)+COUNTIF('9_oferty p.'!$C$3:'9_oferty p.'!C19,'9_oferty p.'!C19)-1</f>
        <v>21</v>
      </c>
      <c r="C20" s="8" t="str">
        <f>INDEX('9_oferty p.'!B3:G28,MATCH(17,B4:B29,0),1)</f>
        <v>lubaczowski</v>
      </c>
      <c r="D20" s="10">
        <f>INDEX('9_oferty p.'!B3:G28,MATCH(17,B4:B29,0),2)</f>
        <v>175</v>
      </c>
      <c r="E20" s="9">
        <f>INDEX('9_oferty p.'!B3:G28,MATCH(17,B4:B29,0),3)</f>
        <v>33</v>
      </c>
      <c r="F20" s="10">
        <f>INDEX('9_oferty p.'!B3:G28,MATCH(17,B4:B29,0),4)</f>
        <v>142</v>
      </c>
      <c r="G20" s="9">
        <f>INDEX('9_oferty p.'!B3:G28,MATCH(17,B4:B29,0),5)</f>
        <v>94</v>
      </c>
      <c r="H20" s="10">
        <f>INDEX('9_oferty p.'!B3:G28,MATCH(17,B4:B29,0),6)</f>
        <v>81</v>
      </c>
    </row>
    <row r="21" spans="2:8" x14ac:dyDescent="0.2">
      <c r="B21" s="10">
        <f>RANK('9_oferty p.'!C20,'9_oferty p.'!$C$3:'9_oferty p.'!$C$28,1)+COUNTIF('9_oferty p.'!$C$3:'9_oferty p.'!C20,'9_oferty p.'!C20)-1</f>
        <v>8</v>
      </c>
      <c r="C21" s="8" t="str">
        <f>INDEX('9_oferty p.'!B3:G28,MATCH(18,B4:B29,0),1)</f>
        <v>Krosno</v>
      </c>
      <c r="D21" s="10">
        <f>INDEX('9_oferty p.'!B3:G28,MATCH(18,B4:B29,0),2)</f>
        <v>186</v>
      </c>
      <c r="E21" s="9">
        <f>INDEX('9_oferty p.'!B3:G28,MATCH(18,B4:B29,0),3)</f>
        <v>58</v>
      </c>
      <c r="F21" s="10">
        <f>INDEX('9_oferty p.'!B3:G28,MATCH(18,B4:B29,0),4)</f>
        <v>128</v>
      </c>
      <c r="G21" s="9">
        <f>INDEX('9_oferty p.'!B3:G28,MATCH(18,B4:B29,0),5)</f>
        <v>89</v>
      </c>
      <c r="H21" s="10">
        <f>INDEX('9_oferty p.'!B3:G28,MATCH(18,B4:B29,0),6)</f>
        <v>97</v>
      </c>
    </row>
    <row r="22" spans="2:8" x14ac:dyDescent="0.2">
      <c r="B22" s="10">
        <f>RANK('9_oferty p.'!C21,'9_oferty p.'!$C$3:'9_oferty p.'!$C$28,1)+COUNTIF('9_oferty p.'!$C$3:'9_oferty p.'!C21,'9_oferty p.'!C21)-1</f>
        <v>12</v>
      </c>
      <c r="C22" s="8" t="str">
        <f>INDEX('9_oferty p.'!B3:G28,MATCH(19,B4:B29,0),1)</f>
        <v>Przemyśl</v>
      </c>
      <c r="D22" s="10">
        <f>INDEX('9_oferty p.'!B3:G28,MATCH(19,B4:B29,0),2)</f>
        <v>194</v>
      </c>
      <c r="E22" s="9">
        <f>INDEX('9_oferty p.'!B3:G28,MATCH(19,B4:B29,0),3)</f>
        <v>208</v>
      </c>
      <c r="F22" s="10">
        <f>INDEX('9_oferty p.'!B3:G28,MATCH(19,B4:B29,0),4)</f>
        <v>-14</v>
      </c>
      <c r="G22" s="9">
        <f>INDEX('9_oferty p.'!B3:G28,MATCH(19,B4:B29,0),5)</f>
        <v>93</v>
      </c>
      <c r="H22" s="10">
        <f>INDEX('9_oferty p.'!B3:G28,MATCH(19,B4:B29,0),6)</f>
        <v>101</v>
      </c>
    </row>
    <row r="23" spans="2:8" x14ac:dyDescent="0.2">
      <c r="B23" s="10">
        <f>RANK('9_oferty p.'!C22,'9_oferty p.'!$C$3:'9_oferty p.'!$C$28,1)+COUNTIF('9_oferty p.'!$C$3:'9_oferty p.'!C22,'9_oferty p.'!C22)-1</f>
        <v>25</v>
      </c>
      <c r="C23" s="8" t="str">
        <f>INDEX('9_oferty p.'!B3:G28,MATCH(20,B4:B29,0),1)</f>
        <v>jasielski</v>
      </c>
      <c r="D23" s="10">
        <f>INDEX('9_oferty p.'!B3:G28,MATCH(20,B4:B29,0),2)</f>
        <v>240</v>
      </c>
      <c r="E23" s="9">
        <f>INDEX('9_oferty p.'!B3:G28,MATCH(20,B4:B29,0),3)</f>
        <v>217</v>
      </c>
      <c r="F23" s="10">
        <f>INDEX('9_oferty p.'!B3:G28,MATCH(20,B4:B29,0),4)</f>
        <v>23</v>
      </c>
      <c r="G23" s="9">
        <f>INDEX('9_oferty p.'!B3:G28,MATCH(20,B4:B29,0),5)</f>
        <v>173</v>
      </c>
      <c r="H23" s="10">
        <f>INDEX('9_oferty p.'!B3:G28,MATCH(20,B4:B29,0),6)</f>
        <v>67</v>
      </c>
    </row>
    <row r="24" spans="2:8" x14ac:dyDescent="0.2">
      <c r="B24" s="10">
        <f>RANK('9_oferty p.'!C23,'9_oferty p.'!$C$3:'9_oferty p.'!$C$28,1)+COUNTIF('9_oferty p.'!$C$3:'9_oferty p.'!C23,'9_oferty p.'!C23)-1</f>
        <v>2</v>
      </c>
      <c r="C24" s="8" t="str">
        <f>INDEX('9_oferty p.'!B3:G28,MATCH(21,B4:B29,0),1)</f>
        <v>rzeszowski</v>
      </c>
      <c r="D24" s="10">
        <f>INDEX('9_oferty p.'!B3:G28,MATCH(21,B4:B29,0),2)</f>
        <v>248</v>
      </c>
      <c r="E24" s="9">
        <f>INDEX('9_oferty p.'!B3:G28,MATCH(21,B4:B29,0),3)</f>
        <v>135</v>
      </c>
      <c r="F24" s="10">
        <f>INDEX('9_oferty p.'!B3:G28,MATCH(21,B4:B29,0),4)</f>
        <v>113</v>
      </c>
      <c r="G24" s="9">
        <f>INDEX('9_oferty p.'!B3:G28,MATCH(21,B4:B29,0),5)</f>
        <v>126</v>
      </c>
      <c r="H24" s="10">
        <f>INDEX('9_oferty p.'!B3:G28,MATCH(21,B4:B29,0),6)</f>
        <v>122</v>
      </c>
    </row>
    <row r="25" spans="2:8" x14ac:dyDescent="0.2">
      <c r="B25" s="10">
        <f>RANK('9_oferty p.'!C24,'9_oferty p.'!$C$3:'9_oferty p.'!$C$28,1)+COUNTIF('9_oferty p.'!$C$3:'9_oferty p.'!C24,'9_oferty p.'!C24)-1</f>
        <v>18</v>
      </c>
      <c r="C25" s="8" t="str">
        <f>INDEX('9_oferty p.'!B3:G28,MATCH(22,B4:B29,0),1)</f>
        <v>dębicki</v>
      </c>
      <c r="D25" s="10">
        <f>INDEX('9_oferty p.'!B3:G28,MATCH(22,B4:B29,0),2)</f>
        <v>282</v>
      </c>
      <c r="E25" s="9">
        <f>INDEX('9_oferty p.'!B3:G28,MATCH(22,B4:B29,0),3)</f>
        <v>197</v>
      </c>
      <c r="F25" s="10">
        <f>INDEX('9_oferty p.'!B3:G28,MATCH(22,B4:B29,0),4)</f>
        <v>85</v>
      </c>
      <c r="G25" s="9">
        <f>INDEX('9_oferty p.'!B3:G28,MATCH(22,B4:B29,0),5)</f>
        <v>394</v>
      </c>
      <c r="H25" s="10">
        <f>INDEX('9_oferty p.'!B3:G28,MATCH(22,B4:B29,0),6)</f>
        <v>-112</v>
      </c>
    </row>
    <row r="26" spans="2:8" x14ac:dyDescent="0.2">
      <c r="B26" s="10">
        <f>RANK('9_oferty p.'!C25,'9_oferty p.'!$C$3:'9_oferty p.'!$C$28,1)+COUNTIF('9_oferty p.'!$C$3:'9_oferty p.'!C25,'9_oferty p.'!C25)-1</f>
        <v>19</v>
      </c>
      <c r="C26" s="8" t="str">
        <f>INDEX('9_oferty p.'!B3:G28,MATCH(23,B4:B29,0),1)</f>
        <v>jarosławski</v>
      </c>
      <c r="D26" s="10">
        <f>INDEX('9_oferty p.'!B3:G28,MATCH(23,B4:B29,0),2)</f>
        <v>359</v>
      </c>
      <c r="E26" s="9">
        <f>INDEX('9_oferty p.'!B3:G28,MATCH(23,B4:B29,0),3)</f>
        <v>102</v>
      </c>
      <c r="F26" s="10">
        <f>INDEX('9_oferty p.'!B3:G28,MATCH(23,B4:B29,0),4)</f>
        <v>257</v>
      </c>
      <c r="G26" s="9">
        <f>INDEX('9_oferty p.'!B3:G28,MATCH(23,B4:B29,0),5)</f>
        <v>345</v>
      </c>
      <c r="H26" s="10">
        <f>INDEX('9_oferty p.'!B3:G28,MATCH(23,B4:B29,0),6)</f>
        <v>14</v>
      </c>
    </row>
    <row r="27" spans="2:8" x14ac:dyDescent="0.2">
      <c r="B27" s="10">
        <f>RANK('9_oferty p.'!C26,'9_oferty p.'!$C$3:'9_oferty p.'!$C$28,1)+COUNTIF('9_oferty p.'!$C$3:'9_oferty p.'!C26,'9_oferty p.'!C26)-1</f>
        <v>13</v>
      </c>
      <c r="C27" s="8" t="str">
        <f>INDEX('9_oferty p.'!B3:G28,MATCH(24,B4:B29,0),1)</f>
        <v>niżański</v>
      </c>
      <c r="D27" s="10">
        <f>INDEX('9_oferty p.'!B3:G28,MATCH(24,B4:B29,0),2)</f>
        <v>364</v>
      </c>
      <c r="E27" s="9">
        <f>INDEX('9_oferty p.'!B3:G28,MATCH(24,B4:B29,0),3)</f>
        <v>55</v>
      </c>
      <c r="F27" s="10">
        <f>INDEX('9_oferty p.'!B3:G28,MATCH(24,B4:B29,0),4)</f>
        <v>309</v>
      </c>
      <c r="G27" s="9">
        <f>INDEX('9_oferty p.'!B3:G28,MATCH(24,B4:B29,0),5)</f>
        <v>108</v>
      </c>
      <c r="H27" s="10">
        <f>INDEX('9_oferty p.'!B3:G28,MATCH(24,B4:B29,0),6)</f>
        <v>256</v>
      </c>
    </row>
    <row r="28" spans="2:8" x14ac:dyDescent="0.2">
      <c r="B28" s="10">
        <f>RANK('9_oferty p.'!C27,'9_oferty p.'!$C$3:'9_oferty p.'!$C$28,1)+COUNTIF('9_oferty p.'!$C$3:'9_oferty p.'!C27,'9_oferty p.'!C27)-1</f>
        <v>7</v>
      </c>
      <c r="C28" s="8" t="str">
        <f>INDEX('9_oferty p.'!B3:G28,MATCH(25,B4:B29,0),1)</f>
        <v>strzyżowski</v>
      </c>
      <c r="D28" s="10">
        <f>INDEX('9_oferty p.'!B3:G28,MATCH(25,B4:B29,0),2)</f>
        <v>628</v>
      </c>
      <c r="E28" s="9">
        <f>INDEX('9_oferty p.'!B3:G28,MATCH(25,B4:B29,0),3)</f>
        <v>110</v>
      </c>
      <c r="F28" s="10">
        <f>INDEX('9_oferty p.'!B3:G28,MATCH(25,B4:B29,0),4)</f>
        <v>518</v>
      </c>
      <c r="G28" s="9">
        <f>INDEX('9_oferty p.'!B3:G28,MATCH(25,B4:B29,0),5)</f>
        <v>161</v>
      </c>
      <c r="H28" s="10">
        <f>INDEX('9_oferty p.'!B3:G28,MATCH(25,B4:B29,0),6)</f>
        <v>467</v>
      </c>
    </row>
    <row r="29" spans="2:8" ht="15" x14ac:dyDescent="0.25">
      <c r="B29" s="34">
        <f>RANK('9_oferty p.'!C28,'9_oferty p.'!$C$3:'9_oferty p.'!$C$28,1)+COUNTIF('9_oferty p.'!$C$3:'9_oferty p.'!C28,'9_oferty p.'!C28)-1</f>
        <v>26</v>
      </c>
      <c r="C29" s="35" t="str">
        <f>INDEX('9_oferty p.'!B3:G28,MATCH(26,B4:B29,0),1)</f>
        <v>województwo</v>
      </c>
      <c r="D29" s="34">
        <f>INDEX('9_oferty p.'!B3:G28,MATCH(26,B4:B29,0),2)</f>
        <v>4270</v>
      </c>
      <c r="E29" s="17">
        <f>INDEX('9_oferty p.'!B3:G28,MATCH(26,B4:B29,0),3)</f>
        <v>3246</v>
      </c>
      <c r="F29" s="34">
        <f>INDEX('9_oferty p.'!B3:G28,MATCH(26,B4:B29,0),4)</f>
        <v>1024</v>
      </c>
      <c r="G29" s="17">
        <f>INDEX('9_oferty p.'!B3:G28,MATCH(26,B4:B29,0),5)</f>
        <v>4187</v>
      </c>
      <c r="H29" s="34">
        <f>INDEX('9_oferty p.'!B3:G28,MATCH(26,B4:B29,0),6)</f>
        <v>83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CCC0DA"/>
    <pageSetUpPr fitToPage="1"/>
  </sheetPr>
  <dimension ref="B1:K32"/>
  <sheetViews>
    <sheetView zoomScale="80" zoomScaleNormal="8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78" t="s">
        <v>92</v>
      </c>
      <c r="C1" s="76"/>
      <c r="D1" s="76"/>
      <c r="E1" s="76"/>
      <c r="F1" s="76"/>
      <c r="G1" s="76"/>
      <c r="H1" s="77"/>
      <c r="I1" s="77"/>
      <c r="J1" s="77"/>
      <c r="K1" s="77"/>
    </row>
    <row r="2" spans="2:11" ht="14.25" customHeight="1" x14ac:dyDescent="0.2">
      <c r="B2" s="1" t="s">
        <v>93</v>
      </c>
      <c r="C2" s="70"/>
      <c r="D2" s="70"/>
      <c r="E2" s="70"/>
      <c r="F2" s="70"/>
      <c r="G2" s="70"/>
      <c r="H2" s="77"/>
      <c r="I2" s="77"/>
      <c r="J2" s="77"/>
      <c r="K2" s="77"/>
    </row>
    <row r="3" spans="2:11" ht="57" x14ac:dyDescent="0.2">
      <c r="B3" s="5" t="s">
        <v>27</v>
      </c>
      <c r="C3" s="6" t="s">
        <v>128</v>
      </c>
      <c r="D3" s="7" t="s">
        <v>109</v>
      </c>
      <c r="E3" s="6" t="s">
        <v>28</v>
      </c>
      <c r="F3" s="7" t="s">
        <v>129</v>
      </c>
      <c r="G3" s="6" t="s">
        <v>26</v>
      </c>
    </row>
    <row r="4" spans="2:11" x14ac:dyDescent="0.2">
      <c r="B4" s="8" t="s">
        <v>0</v>
      </c>
      <c r="C4" s="73">
        <v>66</v>
      </c>
      <c r="D4" s="9">
        <v>24</v>
      </c>
      <c r="E4" s="73">
        <f t="shared" ref="E4:E28" si="0">SUM(C4)-D4</f>
        <v>42</v>
      </c>
      <c r="F4" s="9">
        <v>49</v>
      </c>
      <c r="G4" s="73">
        <f t="shared" ref="G4:G28" si="1">SUM(C4)-F4</f>
        <v>17</v>
      </c>
      <c r="H4" s="11"/>
    </row>
    <row r="5" spans="2:11" x14ac:dyDescent="0.2">
      <c r="B5" s="8" t="s">
        <v>1</v>
      </c>
      <c r="C5" s="73">
        <v>46</v>
      </c>
      <c r="D5" s="9">
        <v>12</v>
      </c>
      <c r="E5" s="73">
        <f t="shared" si="0"/>
        <v>34</v>
      </c>
      <c r="F5" s="9">
        <v>67</v>
      </c>
      <c r="G5" s="73">
        <f t="shared" si="1"/>
        <v>-21</v>
      </c>
      <c r="H5" s="11"/>
    </row>
    <row r="6" spans="2:11" x14ac:dyDescent="0.2">
      <c r="B6" s="8" t="s">
        <v>2</v>
      </c>
      <c r="C6" s="73">
        <v>88</v>
      </c>
      <c r="D6" s="9">
        <v>42</v>
      </c>
      <c r="E6" s="73">
        <f t="shared" si="0"/>
        <v>46</v>
      </c>
      <c r="F6" s="9">
        <v>68</v>
      </c>
      <c r="G6" s="73">
        <f t="shared" si="1"/>
        <v>20</v>
      </c>
      <c r="H6" s="11"/>
    </row>
    <row r="7" spans="2:11" x14ac:dyDescent="0.2">
      <c r="B7" s="8" t="s">
        <v>3</v>
      </c>
      <c r="C7" s="73">
        <v>281</v>
      </c>
      <c r="D7" s="9">
        <v>25</v>
      </c>
      <c r="E7" s="73">
        <f t="shared" si="0"/>
        <v>256</v>
      </c>
      <c r="F7" s="9">
        <v>280</v>
      </c>
      <c r="G7" s="73">
        <f t="shared" si="1"/>
        <v>1</v>
      </c>
      <c r="H7" s="11"/>
    </row>
    <row r="8" spans="2:11" x14ac:dyDescent="0.2">
      <c r="B8" s="8" t="s">
        <v>4</v>
      </c>
      <c r="C8" s="73">
        <v>123</v>
      </c>
      <c r="D8" s="9">
        <v>93</v>
      </c>
      <c r="E8" s="73">
        <f t="shared" si="0"/>
        <v>30</v>
      </c>
      <c r="F8" s="9">
        <v>70</v>
      </c>
      <c r="G8" s="73">
        <f t="shared" si="1"/>
        <v>53</v>
      </c>
      <c r="H8" s="11"/>
    </row>
    <row r="9" spans="2:11" x14ac:dyDescent="0.2">
      <c r="B9" s="8" t="s">
        <v>5</v>
      </c>
      <c r="C9" s="73">
        <v>78</v>
      </c>
      <c r="D9" s="9">
        <v>8</v>
      </c>
      <c r="E9" s="73">
        <f t="shared" si="0"/>
        <v>70</v>
      </c>
      <c r="F9" s="9">
        <v>54</v>
      </c>
      <c r="G9" s="73">
        <f t="shared" si="1"/>
        <v>24</v>
      </c>
      <c r="H9" s="11"/>
    </row>
    <row r="10" spans="2:11" x14ac:dyDescent="0.2">
      <c r="B10" s="13" t="s">
        <v>6</v>
      </c>
      <c r="C10" s="73">
        <v>33</v>
      </c>
      <c r="D10" s="9">
        <v>13</v>
      </c>
      <c r="E10" s="73">
        <f t="shared" si="0"/>
        <v>20</v>
      </c>
      <c r="F10" s="9">
        <v>49</v>
      </c>
      <c r="G10" s="73">
        <f t="shared" si="1"/>
        <v>-16</v>
      </c>
      <c r="H10" s="11"/>
    </row>
    <row r="11" spans="2:11" x14ac:dyDescent="0.2">
      <c r="B11" s="8" t="s">
        <v>7</v>
      </c>
      <c r="C11" s="73">
        <v>26</v>
      </c>
      <c r="D11" s="9">
        <v>5</v>
      </c>
      <c r="E11" s="73">
        <f t="shared" si="0"/>
        <v>21</v>
      </c>
      <c r="F11" s="9">
        <v>20</v>
      </c>
      <c r="G11" s="73">
        <f t="shared" si="1"/>
        <v>6</v>
      </c>
      <c r="H11" s="11"/>
    </row>
    <row r="12" spans="2:11" x14ac:dyDescent="0.2">
      <c r="B12" s="8" t="s">
        <v>8</v>
      </c>
      <c r="C12" s="73">
        <v>113</v>
      </c>
      <c r="D12" s="9">
        <v>2</v>
      </c>
      <c r="E12" s="73">
        <f t="shared" si="0"/>
        <v>111</v>
      </c>
      <c r="F12" s="9">
        <v>154</v>
      </c>
      <c r="G12" s="73">
        <f t="shared" si="1"/>
        <v>-41</v>
      </c>
      <c r="H12" s="11"/>
    </row>
    <row r="13" spans="2:11" x14ac:dyDescent="0.2">
      <c r="B13" s="8" t="s">
        <v>9</v>
      </c>
      <c r="C13" s="73">
        <v>79</v>
      </c>
      <c r="D13" s="9">
        <v>21</v>
      </c>
      <c r="E13" s="73">
        <f t="shared" si="0"/>
        <v>58</v>
      </c>
      <c r="F13" s="9">
        <v>70</v>
      </c>
      <c r="G13" s="73">
        <f t="shared" si="1"/>
        <v>9</v>
      </c>
      <c r="H13" s="11"/>
    </row>
    <row r="14" spans="2:11" x14ac:dyDescent="0.2">
      <c r="B14" s="8" t="s">
        <v>10</v>
      </c>
      <c r="C14" s="73">
        <v>123</v>
      </c>
      <c r="D14" s="9">
        <v>58</v>
      </c>
      <c r="E14" s="73">
        <f t="shared" si="0"/>
        <v>65</v>
      </c>
      <c r="F14" s="9">
        <v>81</v>
      </c>
      <c r="G14" s="73">
        <f t="shared" si="1"/>
        <v>42</v>
      </c>
      <c r="H14" s="11"/>
    </row>
    <row r="15" spans="2:11" x14ac:dyDescent="0.2">
      <c r="B15" s="8" t="s">
        <v>11</v>
      </c>
      <c r="C15" s="73">
        <v>130</v>
      </c>
      <c r="D15" s="9">
        <v>28</v>
      </c>
      <c r="E15" s="73">
        <f t="shared" si="0"/>
        <v>102</v>
      </c>
      <c r="F15" s="9">
        <v>131</v>
      </c>
      <c r="G15" s="73">
        <f t="shared" si="1"/>
        <v>-1</v>
      </c>
      <c r="H15" s="11"/>
    </row>
    <row r="16" spans="2:11" x14ac:dyDescent="0.2">
      <c r="B16" s="8" t="s">
        <v>12</v>
      </c>
      <c r="C16" s="73">
        <v>69</v>
      </c>
      <c r="D16" s="9">
        <v>30</v>
      </c>
      <c r="E16" s="73">
        <f t="shared" si="0"/>
        <v>39</v>
      </c>
      <c r="F16" s="9">
        <v>88</v>
      </c>
      <c r="G16" s="73">
        <f t="shared" si="1"/>
        <v>-19</v>
      </c>
      <c r="H16" s="11"/>
    </row>
    <row r="17" spans="2:8" x14ac:dyDescent="0.2">
      <c r="B17" s="8" t="s">
        <v>13</v>
      </c>
      <c r="C17" s="73">
        <v>48</v>
      </c>
      <c r="D17" s="9">
        <v>37</v>
      </c>
      <c r="E17" s="73">
        <f t="shared" si="0"/>
        <v>11</v>
      </c>
      <c r="F17" s="9">
        <v>77</v>
      </c>
      <c r="G17" s="73">
        <f t="shared" si="1"/>
        <v>-29</v>
      </c>
      <c r="H17" s="11"/>
    </row>
    <row r="18" spans="2:8" x14ac:dyDescent="0.2">
      <c r="B18" s="8" t="s">
        <v>14</v>
      </c>
      <c r="C18" s="73">
        <v>144</v>
      </c>
      <c r="D18" s="9">
        <v>148</v>
      </c>
      <c r="E18" s="73">
        <f t="shared" si="0"/>
        <v>-4</v>
      </c>
      <c r="F18" s="9">
        <v>119</v>
      </c>
      <c r="G18" s="73">
        <f t="shared" si="1"/>
        <v>25</v>
      </c>
      <c r="H18" s="11"/>
    </row>
    <row r="19" spans="2:8" x14ac:dyDescent="0.2">
      <c r="B19" s="8" t="s">
        <v>15</v>
      </c>
      <c r="C19" s="73">
        <v>49</v>
      </c>
      <c r="D19" s="9">
        <v>51</v>
      </c>
      <c r="E19" s="73">
        <f t="shared" si="0"/>
        <v>-2</v>
      </c>
      <c r="F19" s="9">
        <v>85</v>
      </c>
      <c r="G19" s="73">
        <f t="shared" si="1"/>
        <v>-36</v>
      </c>
      <c r="H19" s="11"/>
    </row>
    <row r="20" spans="2:8" x14ac:dyDescent="0.2">
      <c r="B20" s="8" t="s">
        <v>16</v>
      </c>
      <c r="C20" s="73">
        <v>34</v>
      </c>
      <c r="D20" s="9">
        <v>36</v>
      </c>
      <c r="E20" s="73">
        <f t="shared" si="0"/>
        <v>-2</v>
      </c>
      <c r="F20" s="9">
        <v>38</v>
      </c>
      <c r="G20" s="73">
        <f t="shared" si="1"/>
        <v>-4</v>
      </c>
      <c r="H20" s="11"/>
    </row>
    <row r="21" spans="2:8" x14ac:dyDescent="0.2">
      <c r="B21" s="8" t="s">
        <v>17</v>
      </c>
      <c r="C21" s="73">
        <v>26</v>
      </c>
      <c r="D21" s="9">
        <v>10</v>
      </c>
      <c r="E21" s="73">
        <f t="shared" si="0"/>
        <v>16</v>
      </c>
      <c r="F21" s="9">
        <v>30</v>
      </c>
      <c r="G21" s="73">
        <f t="shared" si="1"/>
        <v>-4</v>
      </c>
      <c r="H21" s="11"/>
    </row>
    <row r="22" spans="2:8" x14ac:dyDescent="0.2">
      <c r="B22" s="8" t="s">
        <v>18</v>
      </c>
      <c r="C22" s="73">
        <v>75</v>
      </c>
      <c r="D22" s="9">
        <v>24</v>
      </c>
      <c r="E22" s="73">
        <f t="shared" si="0"/>
        <v>51</v>
      </c>
      <c r="F22" s="9">
        <v>55</v>
      </c>
      <c r="G22" s="73">
        <f t="shared" si="1"/>
        <v>20</v>
      </c>
      <c r="H22" s="11"/>
    </row>
    <row r="23" spans="2:8" x14ac:dyDescent="0.2">
      <c r="B23" s="8" t="s">
        <v>19</v>
      </c>
      <c r="C23" s="73">
        <v>143</v>
      </c>
      <c r="D23" s="9">
        <v>63</v>
      </c>
      <c r="E23" s="73">
        <f t="shared" si="0"/>
        <v>80</v>
      </c>
      <c r="F23" s="9">
        <v>126</v>
      </c>
      <c r="G23" s="73">
        <f t="shared" si="1"/>
        <v>17</v>
      </c>
      <c r="H23" s="11"/>
    </row>
    <row r="24" spans="2:8" x14ac:dyDescent="0.2">
      <c r="B24" s="8" t="s">
        <v>20</v>
      </c>
      <c r="C24" s="73">
        <v>98</v>
      </c>
      <c r="D24" s="9">
        <v>17</v>
      </c>
      <c r="E24" s="73">
        <f t="shared" si="0"/>
        <v>81</v>
      </c>
      <c r="F24" s="9">
        <v>63</v>
      </c>
      <c r="G24" s="73">
        <f t="shared" si="1"/>
        <v>35</v>
      </c>
      <c r="H24" s="11"/>
    </row>
    <row r="25" spans="2:8" x14ac:dyDescent="0.2">
      <c r="B25" s="8" t="s">
        <v>21</v>
      </c>
      <c r="C25" s="73">
        <v>74</v>
      </c>
      <c r="D25" s="9">
        <v>32</v>
      </c>
      <c r="E25" s="73">
        <f t="shared" si="0"/>
        <v>42</v>
      </c>
      <c r="F25" s="9">
        <v>47</v>
      </c>
      <c r="G25" s="73">
        <f t="shared" si="1"/>
        <v>27</v>
      </c>
      <c r="H25" s="11"/>
    </row>
    <row r="26" spans="2:8" x14ac:dyDescent="0.2">
      <c r="B26" s="8" t="s">
        <v>22</v>
      </c>
      <c r="C26" s="73">
        <v>49</v>
      </c>
      <c r="D26" s="9">
        <v>80</v>
      </c>
      <c r="E26" s="73">
        <f t="shared" si="0"/>
        <v>-31</v>
      </c>
      <c r="F26" s="9">
        <v>75</v>
      </c>
      <c r="G26" s="73">
        <f t="shared" si="1"/>
        <v>-26</v>
      </c>
      <c r="H26" s="11"/>
    </row>
    <row r="27" spans="2:8" x14ac:dyDescent="0.2">
      <c r="B27" s="8" t="s">
        <v>23</v>
      </c>
      <c r="C27" s="73">
        <v>97</v>
      </c>
      <c r="D27" s="9">
        <v>67</v>
      </c>
      <c r="E27" s="73">
        <f t="shared" si="0"/>
        <v>30</v>
      </c>
      <c r="F27" s="9">
        <v>80</v>
      </c>
      <c r="G27" s="73">
        <f t="shared" si="1"/>
        <v>17</v>
      </c>
      <c r="H27" s="11"/>
    </row>
    <row r="28" spans="2:8" x14ac:dyDescent="0.2">
      <c r="B28" s="8" t="s">
        <v>24</v>
      </c>
      <c r="C28" s="73">
        <v>61</v>
      </c>
      <c r="D28" s="9">
        <v>28</v>
      </c>
      <c r="E28" s="73">
        <f t="shared" si="0"/>
        <v>33</v>
      </c>
      <c r="F28" s="9">
        <v>42</v>
      </c>
      <c r="G28" s="73">
        <f t="shared" si="1"/>
        <v>19</v>
      </c>
      <c r="H28" s="11"/>
    </row>
    <row r="29" spans="2:8" ht="15" x14ac:dyDescent="0.25">
      <c r="B29" s="15" t="s">
        <v>25</v>
      </c>
      <c r="C29" s="74">
        <f>SUM(C4:C28)</f>
        <v>2153</v>
      </c>
      <c r="D29" s="17">
        <f>SUM(D4:D28)</f>
        <v>954</v>
      </c>
      <c r="E29" s="74">
        <f>SUM(E4:E28)</f>
        <v>1199</v>
      </c>
      <c r="F29" s="17">
        <f>SUM(F4:F28)</f>
        <v>2018</v>
      </c>
      <c r="G29" s="74">
        <f>SUM(G4:G28)</f>
        <v>135</v>
      </c>
      <c r="H29" s="11"/>
    </row>
    <row r="30" spans="2:8" ht="12" customHeight="1" x14ac:dyDescent="0.2">
      <c r="B30" s="4"/>
      <c r="C30" s="30"/>
      <c r="E30" s="11"/>
      <c r="G30" s="11"/>
    </row>
    <row r="31" spans="2:8" ht="9" customHeight="1" x14ac:dyDescent="0.2">
      <c r="B31" s="4"/>
    </row>
    <row r="32" spans="2:8" ht="12.75" customHeight="1" x14ac:dyDescent="0.2">
      <c r="B32" s="4"/>
    </row>
  </sheetData>
  <printOptions horizontalCentered="1" verticalCentered="1"/>
  <pageMargins left="0.31496062992125984" right="0.3149606299212598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249977111117893"/>
  </sheetPr>
  <dimension ref="B1:H30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6.85546875" style="3" customWidth="1"/>
    <col min="3" max="3" width="25" style="3" customWidth="1"/>
    <col min="4" max="4" width="15" style="3" customWidth="1"/>
    <col min="5" max="5" width="14.42578125" style="3" customWidth="1"/>
    <col min="6" max="6" width="14.85546875" style="3" customWidth="1"/>
    <col min="7" max="7" width="15.5703125" style="3" customWidth="1"/>
    <col min="8" max="8" width="17" style="3" customWidth="1"/>
    <col min="9" max="9" width="2.5703125" style="3" customWidth="1"/>
    <col min="10" max="19" width="9.140625" style="3"/>
    <col min="20" max="20" width="2.7109375" style="3" customWidth="1"/>
    <col min="21" max="16384" width="9.140625" style="3"/>
  </cols>
  <sheetData>
    <row r="1" spans="2:8" x14ac:dyDescent="0.2">
      <c r="B1" s="2" t="s">
        <v>32</v>
      </c>
    </row>
    <row r="2" spans="2:8" ht="15" x14ac:dyDescent="0.2">
      <c r="C2" s="31"/>
      <c r="D2" s="32"/>
    </row>
    <row r="3" spans="2:8" ht="69" customHeight="1" x14ac:dyDescent="0.2">
      <c r="B3" s="33" t="s">
        <v>88</v>
      </c>
      <c r="C3" s="5" t="str">
        <f>T('1_bezr.'!B2)</f>
        <v>powiaty</v>
      </c>
      <c r="D3" s="6" t="str">
        <f>T('1_bezr.'!C2)</f>
        <v>liczba bezrobotnych ogółem stan na 28 II '23 r.</v>
      </c>
      <c r="E3" s="7" t="str">
        <f>T('1_bezr.'!D2)</f>
        <v>liczba bezrobotnych ogółem stan na 31 I '23 r.</v>
      </c>
      <c r="F3" s="6" t="str">
        <f>T('1_bezr.'!E2)</f>
        <v>wzrost/spadek do miesiąca poprzedniego</v>
      </c>
      <c r="G3" s="7" t="str">
        <f>T('1_bezr.'!F2)</f>
        <v>liczba bezrobotnych ogółem stan na 28 II '22 r.</v>
      </c>
      <c r="H3" s="6" t="str">
        <f>T('1_bezr.'!G2)</f>
        <v>wzrost/spadek do analogicznego okresu ubr.</v>
      </c>
    </row>
    <row r="4" spans="2:8" x14ac:dyDescent="0.2">
      <c r="B4" s="10">
        <f>RANK('1_bezr.'!C3,'1_bezr.'!$C$3:'1_bezr.'!$C$28,1)+COUNTIF('1_bezr.'!$C$3:'1_bezr.'!C3,'1_bezr.'!C3)-1</f>
        <v>3</v>
      </c>
      <c r="C4" s="8" t="str">
        <f>INDEX('1_bezr.'!B3:G28,MATCH(1,B4:B29,0),1)</f>
        <v>Krosno</v>
      </c>
      <c r="D4" s="39">
        <f>INDEX('1_bezr.'!B3:G28,MATCH(1,B4:B29,0),2)</f>
        <v>802</v>
      </c>
      <c r="E4" s="9">
        <f>INDEX('1_bezr.'!B3:G28,MATCH(1,B4:B29,0),3)</f>
        <v>786</v>
      </c>
      <c r="F4" s="10">
        <f>INDEX('1_bezr.'!B3:G28,MATCH(1,B4:B29,0),4)</f>
        <v>16</v>
      </c>
      <c r="G4" s="9">
        <f>INDEX('1_bezr.'!B3:G28,MATCH(1,B4:B29,0),5)</f>
        <v>775</v>
      </c>
      <c r="H4" s="10">
        <f>INDEX('1_bezr.'!B3:G28,MATCH(1,B4:B29,0),6)</f>
        <v>27</v>
      </c>
    </row>
    <row r="5" spans="2:8" x14ac:dyDescent="0.2">
      <c r="B5" s="10">
        <f>RANK('1_bezr.'!C4,'1_bezr.'!$C$3:'1_bezr.'!$C$28,1)+COUNTIF('1_bezr.'!$C$3:'1_bezr.'!C4,'1_bezr.'!C4)-1</f>
        <v>21</v>
      </c>
      <c r="C5" s="8" t="str">
        <f>INDEX('1_bezr.'!B3:G28,MATCH(2,B4:B29,0),1)</f>
        <v>Tarnobrzeg</v>
      </c>
      <c r="D5" s="10">
        <f>INDEX('1_bezr.'!B3:G28,MATCH(2,B4:B29,0),2)</f>
        <v>1155</v>
      </c>
      <c r="E5" s="9">
        <f>INDEX('1_bezr.'!B3:G28,MATCH(2,B4:B29,0),3)</f>
        <v>1146</v>
      </c>
      <c r="F5" s="10">
        <f>INDEX('1_bezr.'!B3:G28,MATCH(2,B4:B29,0),4)</f>
        <v>9</v>
      </c>
      <c r="G5" s="9">
        <f>INDEX('1_bezr.'!B3:G28,MATCH(2,B4:B29,0),5)</f>
        <v>1429</v>
      </c>
      <c r="H5" s="10">
        <f>INDEX('1_bezr.'!B3:G28,MATCH(2,B4:B29,0),6)</f>
        <v>-274</v>
      </c>
    </row>
    <row r="6" spans="2:8" x14ac:dyDescent="0.2">
      <c r="B6" s="10">
        <f>RANK('1_bezr.'!C5,'1_bezr.'!$C$3:'1_bezr.'!$C$28,1)+COUNTIF('1_bezr.'!$C$3:'1_bezr.'!C5,'1_bezr.'!C5)-1</f>
        <v>11</v>
      </c>
      <c r="C6" s="8" t="str">
        <f>INDEX('1_bezr.'!B3:G28,MATCH(3,B4:B29,0),1)</f>
        <v>bieszczadzki</v>
      </c>
      <c r="D6" s="10">
        <f>INDEX('1_bezr.'!B3:G28,MATCH(3,B4:B29,0),2)</f>
        <v>1168</v>
      </c>
      <c r="E6" s="9">
        <f>INDEX('1_bezr.'!B3:G28,MATCH(3,B4:B29,0),3)</f>
        <v>1175</v>
      </c>
      <c r="F6" s="10">
        <f>INDEX('1_bezr.'!B3:G28,MATCH(3,B4:B29,0),4)</f>
        <v>-7</v>
      </c>
      <c r="G6" s="9">
        <f>INDEX('1_bezr.'!B3:G28,MATCH(3,B4:B29,0),5)</f>
        <v>1190</v>
      </c>
      <c r="H6" s="10">
        <f>INDEX('1_bezr.'!B3:G28,MATCH(3,B4:B29,0),6)</f>
        <v>-22</v>
      </c>
    </row>
    <row r="7" spans="2:8" x14ac:dyDescent="0.2">
      <c r="B7" s="10">
        <f>RANK('1_bezr.'!C6,'1_bezr.'!$C$3:'1_bezr.'!$C$28,1)+COUNTIF('1_bezr.'!$C$3:'1_bezr.'!C6,'1_bezr.'!C6)-1</f>
        <v>22</v>
      </c>
      <c r="C7" s="8" t="str">
        <f>INDEX('1_bezr.'!B3:G28,MATCH(4,B4:B29,0),1)</f>
        <v xml:space="preserve">tarnobrzeski </v>
      </c>
      <c r="D7" s="10">
        <f>INDEX('1_bezr.'!B3:G28,MATCH(4,B4:B29,0),2)</f>
        <v>1376</v>
      </c>
      <c r="E7" s="9">
        <f>INDEX('1_bezr.'!B3:G28,MATCH(4,B4:B29,0),3)</f>
        <v>1364</v>
      </c>
      <c r="F7" s="10">
        <f>INDEX('1_bezr.'!B3:G28,MATCH(4,B4:B29,0),4)</f>
        <v>12</v>
      </c>
      <c r="G7" s="9">
        <f>INDEX('1_bezr.'!B3:G28,MATCH(4,B4:B29,0),5)</f>
        <v>1689</v>
      </c>
      <c r="H7" s="10">
        <f>INDEX('1_bezr.'!B3:G28,MATCH(4,B4:B29,0),6)</f>
        <v>-313</v>
      </c>
    </row>
    <row r="8" spans="2:8" x14ac:dyDescent="0.2">
      <c r="B8" s="10">
        <f>RANK('1_bezr.'!C7,'1_bezr.'!$C$3:'1_bezr.'!$C$28,1)+COUNTIF('1_bezr.'!$C$3:'1_bezr.'!C7,'1_bezr.'!C7)-1</f>
        <v>24</v>
      </c>
      <c r="C8" s="8" t="str">
        <f>INDEX('1_bezr.'!B3:G28,MATCH(5,B4:B29,0),1)</f>
        <v>kolbuszowski</v>
      </c>
      <c r="D8" s="10">
        <f>INDEX('1_bezr.'!B3:G28,MATCH(5,B4:B29,0),2)</f>
        <v>1710</v>
      </c>
      <c r="E8" s="9">
        <f>INDEX('1_bezr.'!B3:G28,MATCH(5,B4:B29,0),3)</f>
        <v>1678</v>
      </c>
      <c r="F8" s="10">
        <f>INDEX('1_bezr.'!B3:G28,MATCH(5,B4:B29,0),4)</f>
        <v>32</v>
      </c>
      <c r="G8" s="9">
        <f>INDEX('1_bezr.'!B3:G28,MATCH(5,B4:B29,0),5)</f>
        <v>1845</v>
      </c>
      <c r="H8" s="10">
        <f>INDEX('1_bezr.'!B3:G28,MATCH(5,B4:B29,0),6)</f>
        <v>-135</v>
      </c>
    </row>
    <row r="9" spans="2:8" x14ac:dyDescent="0.2">
      <c r="B9" s="10">
        <f>RANK('1_bezr.'!C8,'1_bezr.'!$C$3:'1_bezr.'!$C$28,1)+COUNTIF('1_bezr.'!$C$3:'1_bezr.'!C8,'1_bezr.'!C8)-1</f>
        <v>5</v>
      </c>
      <c r="C9" s="8" t="str">
        <f>INDEX('1_bezr.'!B3:G28,MATCH(6,B4:B29,0),1)</f>
        <v>leski</v>
      </c>
      <c r="D9" s="10">
        <f>INDEX('1_bezr.'!B3:G28,MATCH(6,B4:B29,0),2)</f>
        <v>1813</v>
      </c>
      <c r="E9" s="9">
        <f>INDEX('1_bezr.'!B3:G28,MATCH(6,B4:B29,0),3)</f>
        <v>1805</v>
      </c>
      <c r="F9" s="10">
        <f>INDEX('1_bezr.'!B3:G28,MATCH(6,B4:B29,0),4)</f>
        <v>8</v>
      </c>
      <c r="G9" s="9">
        <f>INDEX('1_bezr.'!B3:G28,MATCH(6,B4:B29,0),5)</f>
        <v>1773</v>
      </c>
      <c r="H9" s="10">
        <f>INDEX('1_bezr.'!B3:G28,MATCH(6,B4:B29,0),6)</f>
        <v>40</v>
      </c>
    </row>
    <row r="10" spans="2:8" x14ac:dyDescent="0.2">
      <c r="B10" s="10">
        <f>RANK('1_bezr.'!C9,'1_bezr.'!$C$3:'1_bezr.'!$C$28,1)+COUNTIF('1_bezr.'!$C$3:'1_bezr.'!C9,'1_bezr.'!C9)-1</f>
        <v>9</v>
      </c>
      <c r="C10" s="13" t="str">
        <f>INDEX('1_bezr.'!B3:G28,MATCH(7,B4:B29,0),1)</f>
        <v>lubaczowski</v>
      </c>
      <c r="D10" s="10">
        <f>INDEX('1_bezr.'!B3:G28,MATCH(7,B4:B29,0),2)</f>
        <v>1954</v>
      </c>
      <c r="E10" s="9">
        <f>INDEX('1_bezr.'!B3:G28,MATCH(7,B4:B29,0),3)</f>
        <v>1987</v>
      </c>
      <c r="F10" s="10">
        <f>INDEX('1_bezr.'!B3:G28,MATCH(7,B4:B29,0),4)</f>
        <v>-33</v>
      </c>
      <c r="G10" s="9">
        <f>INDEX('1_bezr.'!B3:G28,MATCH(7,B4:B29,0),5)</f>
        <v>2087</v>
      </c>
      <c r="H10" s="10">
        <f>INDEX('1_bezr.'!B3:G28,MATCH(7,B4:B29,0),6)</f>
        <v>-133</v>
      </c>
    </row>
    <row r="11" spans="2:8" x14ac:dyDescent="0.2">
      <c r="B11" s="10">
        <f>RANK('1_bezr.'!C10,'1_bezr.'!$C$3:'1_bezr.'!$C$28,1)+COUNTIF('1_bezr.'!$C$3:'1_bezr.'!C10,'1_bezr.'!C10)-1</f>
        <v>6</v>
      </c>
      <c r="C11" s="8" t="str">
        <f>INDEX('1_bezr.'!B3:G28,MATCH(8,B4:B29,0),1)</f>
        <v>stalowowolski</v>
      </c>
      <c r="D11" s="10">
        <f>INDEX('1_bezr.'!B3:G28,MATCH(8,B4:B29,0),2)</f>
        <v>2013</v>
      </c>
      <c r="E11" s="9">
        <f>INDEX('1_bezr.'!B3:G28,MATCH(8,B4:B29,0),3)</f>
        <v>2039</v>
      </c>
      <c r="F11" s="10">
        <f>INDEX('1_bezr.'!B3:G28,MATCH(8,B4:B29,0),4)</f>
        <v>-26</v>
      </c>
      <c r="G11" s="9">
        <f>INDEX('1_bezr.'!B3:G28,MATCH(8,B4:B29,0),5)</f>
        <v>2341</v>
      </c>
      <c r="H11" s="10">
        <f>INDEX('1_bezr.'!B3:G28,MATCH(8,B4:B29,0),6)</f>
        <v>-328</v>
      </c>
    </row>
    <row r="12" spans="2:8" x14ac:dyDescent="0.2">
      <c r="B12" s="10">
        <f>RANK('1_bezr.'!C11,'1_bezr.'!$C$3:'1_bezr.'!$C$28,1)+COUNTIF('1_bezr.'!$C$3:'1_bezr.'!C11,'1_bezr.'!C11)-1</f>
        <v>18</v>
      </c>
      <c r="C12" s="8" t="str">
        <f>INDEX('1_bezr.'!B3:G28,MATCH(9,B4:B29,0),1)</f>
        <v>krośnieński</v>
      </c>
      <c r="D12" s="10">
        <f>INDEX('1_bezr.'!B3:G28,MATCH(9,B4:B29,0),2)</f>
        <v>2228</v>
      </c>
      <c r="E12" s="9">
        <f>INDEX('1_bezr.'!B3:G28,MATCH(9,B4:B29,0),3)</f>
        <v>2175</v>
      </c>
      <c r="F12" s="10">
        <f>INDEX('1_bezr.'!B3:G28,MATCH(9,B4:B29,0),4)</f>
        <v>53</v>
      </c>
      <c r="G12" s="9">
        <f>INDEX('1_bezr.'!B3:G28,MATCH(9,B4:B29,0),5)</f>
        <v>2129</v>
      </c>
      <c r="H12" s="10">
        <f>INDEX('1_bezr.'!B3:G28,MATCH(9,B4:B29,0),6)</f>
        <v>99</v>
      </c>
    </row>
    <row r="13" spans="2:8" x14ac:dyDescent="0.2">
      <c r="B13" s="10">
        <f>RANK('1_bezr.'!C12,'1_bezr.'!$C$3:'1_bezr.'!$C$28,1)+COUNTIF('1_bezr.'!$C$3:'1_bezr.'!C12,'1_bezr.'!C12)-1</f>
        <v>7</v>
      </c>
      <c r="C13" s="8" t="str">
        <f>INDEX('1_bezr.'!B3:G28,MATCH(10,B4:B29,0),1)</f>
        <v>Przemyśl</v>
      </c>
      <c r="D13" s="10">
        <f>INDEX('1_bezr.'!B3:G28,MATCH(10,B4:B29,0),2)</f>
        <v>2556</v>
      </c>
      <c r="E13" s="9">
        <f>INDEX('1_bezr.'!B3:G28,MATCH(10,B4:B29,0),3)</f>
        <v>2597</v>
      </c>
      <c r="F13" s="10">
        <f>INDEX('1_bezr.'!B3:G28,MATCH(10,B4:B29,0),4)</f>
        <v>-41</v>
      </c>
      <c r="G13" s="9">
        <f>INDEX('1_bezr.'!B3:G28,MATCH(10,B4:B29,0),5)</f>
        <v>2970</v>
      </c>
      <c r="H13" s="10">
        <f>INDEX('1_bezr.'!B3:G28,MATCH(10,B4:B29,0),6)</f>
        <v>-414</v>
      </c>
    </row>
    <row r="14" spans="2:8" x14ac:dyDescent="0.2">
      <c r="B14" s="10">
        <f>RANK('1_bezr.'!C13,'1_bezr.'!$C$3:'1_bezr.'!$C$28,1)+COUNTIF('1_bezr.'!$C$3:'1_bezr.'!C13,'1_bezr.'!C13)-1</f>
        <v>13</v>
      </c>
      <c r="C14" s="8" t="str">
        <f>INDEX('1_bezr.'!B3:G28,MATCH(11,B4:B29,0),1)</f>
        <v>dębicki</v>
      </c>
      <c r="D14" s="10">
        <f>INDEX('1_bezr.'!B3:G28,MATCH(11,B4:B29,0),2)</f>
        <v>2632</v>
      </c>
      <c r="E14" s="9">
        <f>INDEX('1_bezr.'!B3:G28,MATCH(11,B4:B29,0),3)</f>
        <v>2606</v>
      </c>
      <c r="F14" s="10">
        <f>INDEX('1_bezr.'!B3:G28,MATCH(11,B4:B29,0),4)</f>
        <v>26</v>
      </c>
      <c r="G14" s="9">
        <f>INDEX('1_bezr.'!B3:G28,MATCH(11,B4:B29,0),5)</f>
        <v>2782</v>
      </c>
      <c r="H14" s="10">
        <f>INDEX('1_bezr.'!B3:G28,MATCH(11,B4:B29,0),6)</f>
        <v>-150</v>
      </c>
    </row>
    <row r="15" spans="2:8" x14ac:dyDescent="0.2">
      <c r="B15" s="10">
        <f>RANK('1_bezr.'!C14,'1_bezr.'!$C$3:'1_bezr.'!$C$28,1)+COUNTIF('1_bezr.'!$C$3:'1_bezr.'!C14,'1_bezr.'!C14)-1</f>
        <v>12</v>
      </c>
      <c r="C15" s="8" t="str">
        <f>INDEX('1_bezr.'!B3:G28,MATCH(12,B4:B29,0),1)</f>
        <v>mielecki</v>
      </c>
      <c r="D15" s="10">
        <f>INDEX('1_bezr.'!B3:G28,MATCH(12,B4:B29,0),2)</f>
        <v>2769</v>
      </c>
      <c r="E15" s="9">
        <f>INDEX('1_bezr.'!B3:G28,MATCH(12,B4:B29,0),3)</f>
        <v>2696</v>
      </c>
      <c r="F15" s="10">
        <f>INDEX('1_bezr.'!B3:G28,MATCH(12,B4:B29,0),4)</f>
        <v>73</v>
      </c>
      <c r="G15" s="9">
        <f>INDEX('1_bezr.'!B3:G28,MATCH(12,B4:B29,0),5)</f>
        <v>2886</v>
      </c>
      <c r="H15" s="10">
        <f>INDEX('1_bezr.'!B3:G28,MATCH(12,B4:B29,0),6)</f>
        <v>-117</v>
      </c>
    </row>
    <row r="16" spans="2:8" x14ac:dyDescent="0.2">
      <c r="B16" s="10">
        <f>RANK('1_bezr.'!C15,'1_bezr.'!$C$3:'1_bezr.'!$C$28,1)+COUNTIF('1_bezr.'!$C$3:'1_bezr.'!C15,'1_bezr.'!C15)-1</f>
        <v>17</v>
      </c>
      <c r="C16" s="8" t="str">
        <f>INDEX('1_bezr.'!B3:G28,MATCH(13,B4:B29,0),1)</f>
        <v>łańcucki</v>
      </c>
      <c r="D16" s="10">
        <f>INDEX('1_bezr.'!B3:G28,MATCH(13,B4:B29,0),2)</f>
        <v>2797</v>
      </c>
      <c r="E16" s="9">
        <f>INDEX('1_bezr.'!B3:G28,MATCH(13,B4:B29,0),3)</f>
        <v>2809</v>
      </c>
      <c r="F16" s="10">
        <f>INDEX('1_bezr.'!B3:G28,MATCH(13,B4:B29,0),4)</f>
        <v>-12</v>
      </c>
      <c r="G16" s="9">
        <f>INDEX('1_bezr.'!B3:G28,MATCH(13,B4:B29,0),5)</f>
        <v>3383</v>
      </c>
      <c r="H16" s="10">
        <f>INDEX('1_bezr.'!B3:G28,MATCH(13,B4:B29,0),6)</f>
        <v>-586</v>
      </c>
    </row>
    <row r="17" spans="2:8" x14ac:dyDescent="0.2">
      <c r="B17" s="10">
        <f>RANK('1_bezr.'!C16,'1_bezr.'!$C$3:'1_bezr.'!$C$28,1)+COUNTIF('1_bezr.'!$C$3:'1_bezr.'!C16,'1_bezr.'!C16)-1</f>
        <v>16</v>
      </c>
      <c r="C17" s="8" t="str">
        <f>INDEX('1_bezr.'!B3:G28,MATCH(14,B4:B29,0),1)</f>
        <v>ropczycko-sędziszowski</v>
      </c>
      <c r="D17" s="10">
        <f>INDEX('1_bezr.'!B3:G28,MATCH(14,B4:B29,0),2)</f>
        <v>2836</v>
      </c>
      <c r="E17" s="9">
        <f>INDEX('1_bezr.'!B3:G28,MATCH(14,B4:B29,0),3)</f>
        <v>2858</v>
      </c>
      <c r="F17" s="10">
        <f>INDEX('1_bezr.'!B3:G28,MATCH(14,B4:B29,0),4)</f>
        <v>-22</v>
      </c>
      <c r="G17" s="9">
        <f>INDEX('1_bezr.'!B3:G28,MATCH(14,B4:B29,0),5)</f>
        <v>3274</v>
      </c>
      <c r="H17" s="10">
        <f>INDEX('1_bezr.'!B3:G28,MATCH(14,B4:B29,0),6)</f>
        <v>-438</v>
      </c>
    </row>
    <row r="18" spans="2:8" x14ac:dyDescent="0.2">
      <c r="B18" s="10">
        <f>RANK('1_bezr.'!C17,'1_bezr.'!$C$3:'1_bezr.'!$C$28,1)+COUNTIF('1_bezr.'!$C$3:'1_bezr.'!C17,'1_bezr.'!C17)-1</f>
        <v>20</v>
      </c>
      <c r="C18" s="8" t="str">
        <f>INDEX('1_bezr.'!B3:G28,MATCH(15,B4:B29,0),1)</f>
        <v>sanocki</v>
      </c>
      <c r="D18" s="10">
        <f>INDEX('1_bezr.'!B3:G28,MATCH(15,B4:B29,0),2)</f>
        <v>2840</v>
      </c>
      <c r="E18" s="9">
        <f>INDEX('1_bezr.'!B3:G28,MATCH(15,B4:B29,0),3)</f>
        <v>2809</v>
      </c>
      <c r="F18" s="10">
        <f>INDEX('1_bezr.'!B3:G28,MATCH(15,B4:B29,0),4)</f>
        <v>31</v>
      </c>
      <c r="G18" s="9">
        <f>INDEX('1_bezr.'!B3:G28,MATCH(15,B4:B29,0),5)</f>
        <v>2633</v>
      </c>
      <c r="H18" s="10">
        <f>INDEX('1_bezr.'!B3:G28,MATCH(15,B4:B29,0),6)</f>
        <v>207</v>
      </c>
    </row>
    <row r="19" spans="2:8" x14ac:dyDescent="0.2">
      <c r="B19" s="10">
        <f>RANK('1_bezr.'!C18,'1_bezr.'!$C$3:'1_bezr.'!$C$28,1)+COUNTIF('1_bezr.'!$C$3:'1_bezr.'!C18,'1_bezr.'!C18)-1</f>
        <v>14</v>
      </c>
      <c r="C19" s="8" t="str">
        <f>INDEX('1_bezr.'!B3:G28,MATCH(16,B4:B29,0),1)</f>
        <v>przemyski</v>
      </c>
      <c r="D19" s="10">
        <f>INDEX('1_bezr.'!B3:G28,MATCH(16,B4:B29,0),2)</f>
        <v>3149</v>
      </c>
      <c r="E19" s="9">
        <f>INDEX('1_bezr.'!B3:G28,MATCH(16,B4:B29,0),3)</f>
        <v>3218</v>
      </c>
      <c r="F19" s="10">
        <f>INDEX('1_bezr.'!B3:G28,MATCH(16,B4:B29,0),4)</f>
        <v>-69</v>
      </c>
      <c r="G19" s="9">
        <f>INDEX('1_bezr.'!B3:G28,MATCH(16,B4:B29,0),5)</f>
        <v>3709</v>
      </c>
      <c r="H19" s="10">
        <f>INDEX('1_bezr.'!B3:G28,MATCH(16,B4:B29,0),6)</f>
        <v>-560</v>
      </c>
    </row>
    <row r="20" spans="2:8" x14ac:dyDescent="0.2">
      <c r="B20" s="10">
        <f>RANK('1_bezr.'!C19,'1_bezr.'!$C$3:'1_bezr.'!$C$28,1)+COUNTIF('1_bezr.'!$C$3:'1_bezr.'!C19,'1_bezr.'!C19)-1</f>
        <v>23</v>
      </c>
      <c r="C20" s="8" t="str">
        <f>INDEX('1_bezr.'!B3:G28,MATCH(17,B4:B29,0),1)</f>
        <v>niżański</v>
      </c>
      <c r="D20" s="10">
        <f>INDEX('1_bezr.'!B3:G28,MATCH(17,B4:B29,0),2)</f>
        <v>3248</v>
      </c>
      <c r="E20" s="9">
        <f>INDEX('1_bezr.'!B3:G28,MATCH(17,B4:B29,0),3)</f>
        <v>3307</v>
      </c>
      <c r="F20" s="10">
        <f>INDEX('1_bezr.'!B3:G28,MATCH(17,B4:B29,0),4)</f>
        <v>-59</v>
      </c>
      <c r="G20" s="9">
        <f>INDEX('1_bezr.'!B3:G28,MATCH(17,B4:B29,0),5)</f>
        <v>3410</v>
      </c>
      <c r="H20" s="10">
        <f>INDEX('1_bezr.'!B3:G28,MATCH(17,B4:B29,0),6)</f>
        <v>-162</v>
      </c>
    </row>
    <row r="21" spans="2:8" x14ac:dyDescent="0.2">
      <c r="B21" s="10">
        <f>RANK('1_bezr.'!C20,'1_bezr.'!$C$3:'1_bezr.'!$C$28,1)+COUNTIF('1_bezr.'!$C$3:'1_bezr.'!C20,'1_bezr.'!C20)-1</f>
        <v>15</v>
      </c>
      <c r="C21" s="8" t="str">
        <f>INDEX('1_bezr.'!B3:G28,MATCH(18,B4:B29,0),1)</f>
        <v>leżajski</v>
      </c>
      <c r="D21" s="10">
        <f>INDEX('1_bezr.'!B3:G28,MATCH(18,B4:B29,0),2)</f>
        <v>3283</v>
      </c>
      <c r="E21" s="9">
        <f>INDEX('1_bezr.'!B3:G28,MATCH(18,B4:B29,0),3)</f>
        <v>3295</v>
      </c>
      <c r="F21" s="10">
        <f>INDEX('1_bezr.'!B3:G28,MATCH(18,B4:B29,0),4)</f>
        <v>-12</v>
      </c>
      <c r="G21" s="9">
        <f>INDEX('1_bezr.'!B3:G28,MATCH(18,B4:B29,0),5)</f>
        <v>3708</v>
      </c>
      <c r="H21" s="10">
        <f>INDEX('1_bezr.'!B3:G28,MATCH(18,B4:B29,0),6)</f>
        <v>-425</v>
      </c>
    </row>
    <row r="22" spans="2:8" x14ac:dyDescent="0.2">
      <c r="B22" s="10">
        <f>RANK('1_bezr.'!C21,'1_bezr.'!$C$3:'1_bezr.'!$C$28,1)+COUNTIF('1_bezr.'!$C$3:'1_bezr.'!C21,'1_bezr.'!C21)-1</f>
        <v>8</v>
      </c>
      <c r="C22" s="8" t="str">
        <f>INDEX('1_bezr.'!B3:G28,MATCH(19,B4:B29,0),1)</f>
        <v>strzyżowski</v>
      </c>
      <c r="D22" s="10">
        <f>INDEX('1_bezr.'!B3:G28,MATCH(19,B4:B29,0),2)</f>
        <v>3417</v>
      </c>
      <c r="E22" s="9">
        <f>INDEX('1_bezr.'!B3:G28,MATCH(19,B4:B29,0),3)</f>
        <v>3465</v>
      </c>
      <c r="F22" s="10">
        <f>INDEX('1_bezr.'!B3:G28,MATCH(19,B4:B29,0),4)</f>
        <v>-48</v>
      </c>
      <c r="G22" s="9">
        <f>INDEX('1_bezr.'!B3:G28,MATCH(19,B4:B29,0),5)</f>
        <v>3666</v>
      </c>
      <c r="H22" s="10">
        <f>INDEX('1_bezr.'!B3:G28,MATCH(19,B4:B29,0),6)</f>
        <v>-249</v>
      </c>
    </row>
    <row r="23" spans="2:8" x14ac:dyDescent="0.2">
      <c r="B23" s="10">
        <f>RANK('1_bezr.'!C22,'1_bezr.'!$C$3:'1_bezr.'!$C$28,1)+COUNTIF('1_bezr.'!$C$3:'1_bezr.'!C22,'1_bezr.'!C22)-1</f>
        <v>19</v>
      </c>
      <c r="C23" s="8" t="str">
        <f>INDEX('1_bezr.'!B3:G28,MATCH(20,B4:B29,0),1)</f>
        <v>przeworski</v>
      </c>
      <c r="D23" s="10">
        <f>INDEX('1_bezr.'!B3:G28,MATCH(20,B4:B29,0),2)</f>
        <v>3596</v>
      </c>
      <c r="E23" s="9">
        <f>INDEX('1_bezr.'!B3:G28,MATCH(20,B4:B29,0),3)</f>
        <v>3707</v>
      </c>
      <c r="F23" s="10">
        <f>INDEX('1_bezr.'!B3:G28,MATCH(20,B4:B29,0),4)</f>
        <v>-111</v>
      </c>
      <c r="G23" s="9">
        <f>INDEX('1_bezr.'!B3:G28,MATCH(20,B4:B29,0),5)</f>
        <v>3894</v>
      </c>
      <c r="H23" s="10">
        <f>INDEX('1_bezr.'!B3:G28,MATCH(20,B4:B29,0),6)</f>
        <v>-298</v>
      </c>
    </row>
    <row r="24" spans="2:8" x14ac:dyDescent="0.2">
      <c r="B24" s="10">
        <f>RANK('1_bezr.'!C23,'1_bezr.'!$C$3:'1_bezr.'!$C$28,1)+COUNTIF('1_bezr.'!$C$3:'1_bezr.'!C23,'1_bezr.'!C23)-1</f>
        <v>4</v>
      </c>
      <c r="C24" s="8" t="str">
        <f>INDEX('1_bezr.'!B3:G28,MATCH(21,B4:B29,0),1)</f>
        <v>brzozowski</v>
      </c>
      <c r="D24" s="10">
        <f>INDEX('1_bezr.'!B3:G28,MATCH(21,B4:B29,0),2)</f>
        <v>4127</v>
      </c>
      <c r="E24" s="9">
        <f>INDEX('1_bezr.'!B3:G28,MATCH(21,B4:B29,0),3)</f>
        <v>4136</v>
      </c>
      <c r="F24" s="10">
        <f>INDEX('1_bezr.'!B3:G28,MATCH(21,B4:B29,0),4)</f>
        <v>-9</v>
      </c>
      <c r="G24" s="9">
        <f>INDEX('1_bezr.'!B3:G28,MATCH(21,B4:B29,0),5)</f>
        <v>4329</v>
      </c>
      <c r="H24" s="10">
        <f>INDEX('1_bezr.'!B3:G28,MATCH(21,B4:B29,0),6)</f>
        <v>-202</v>
      </c>
    </row>
    <row r="25" spans="2:8" x14ac:dyDescent="0.2">
      <c r="B25" s="10">
        <f>RANK('1_bezr.'!C24,'1_bezr.'!$C$3:'1_bezr.'!$C$28,1)+COUNTIF('1_bezr.'!$C$3:'1_bezr.'!C24,'1_bezr.'!C24)-1</f>
        <v>1</v>
      </c>
      <c r="C25" s="8" t="str">
        <f>INDEX('1_bezr.'!B3:G28,MATCH(22,B4:B29,0),1)</f>
        <v>jarosławski</v>
      </c>
      <c r="D25" s="10">
        <f>INDEX('1_bezr.'!B3:G28,MATCH(22,B4:B29,0),2)</f>
        <v>4843</v>
      </c>
      <c r="E25" s="9">
        <f>INDEX('1_bezr.'!B3:G28,MATCH(22,B4:B29,0),3)</f>
        <v>4850</v>
      </c>
      <c r="F25" s="10">
        <f>INDEX('1_bezr.'!B3:G28,MATCH(22,B4:B29,0),4)</f>
        <v>-7</v>
      </c>
      <c r="G25" s="9">
        <f>INDEX('1_bezr.'!B3:G28,MATCH(22,B4:B29,0),5)</f>
        <v>5513</v>
      </c>
      <c r="H25" s="10">
        <f>INDEX('1_bezr.'!B3:G28,MATCH(22,B4:B29,0),6)</f>
        <v>-670</v>
      </c>
    </row>
    <row r="26" spans="2:8" x14ac:dyDescent="0.2">
      <c r="B26" s="10">
        <f>RANK('1_bezr.'!C25,'1_bezr.'!$C$3:'1_bezr.'!$C$28,1)+COUNTIF('1_bezr.'!$C$3:'1_bezr.'!C25,'1_bezr.'!C25)-1</f>
        <v>10</v>
      </c>
      <c r="C26" s="8" t="str">
        <f>INDEX('1_bezr.'!B3:G28,MATCH(23,B4:B29,0),1)</f>
        <v>rzeszowski</v>
      </c>
      <c r="D26" s="10">
        <f>INDEX('1_bezr.'!B3:G28,MATCH(23,B4:B29,0),2)</f>
        <v>5092</v>
      </c>
      <c r="E26" s="9">
        <f>INDEX('1_bezr.'!B3:G28,MATCH(23,B4:B29,0),3)</f>
        <v>5063</v>
      </c>
      <c r="F26" s="10">
        <f>INDEX('1_bezr.'!B3:G28,MATCH(23,B4:B29,0),4)</f>
        <v>29</v>
      </c>
      <c r="G26" s="9">
        <f>INDEX('1_bezr.'!B3:G28,MATCH(23,B4:B29,0),5)</f>
        <v>5648</v>
      </c>
      <c r="H26" s="10">
        <f>INDEX('1_bezr.'!B3:G28,MATCH(23,B4:B29,0),6)</f>
        <v>-556</v>
      </c>
    </row>
    <row r="27" spans="2:8" x14ac:dyDescent="0.2">
      <c r="B27" s="10">
        <f>RANK('1_bezr.'!C26,'1_bezr.'!$C$3:'1_bezr.'!$C$28,1)+COUNTIF('1_bezr.'!$C$3:'1_bezr.'!C26,'1_bezr.'!C26)-1</f>
        <v>25</v>
      </c>
      <c r="C27" s="8" t="str">
        <f>INDEX('1_bezr.'!B3:G28,MATCH(24,B4:B29,0),1)</f>
        <v>jasielski</v>
      </c>
      <c r="D27" s="10">
        <f>INDEX('1_bezr.'!B3:G28,MATCH(24,B4:B29,0),2)</f>
        <v>5156</v>
      </c>
      <c r="E27" s="9">
        <f>INDEX('1_bezr.'!B3:G28,MATCH(24,B4:B29,0),3)</f>
        <v>5153</v>
      </c>
      <c r="F27" s="10">
        <f>INDEX('1_bezr.'!B3:G28,MATCH(24,B4:B29,0),4)</f>
        <v>3</v>
      </c>
      <c r="G27" s="9">
        <f>INDEX('1_bezr.'!B3:G28,MATCH(24,B4:B29,0),5)</f>
        <v>5495</v>
      </c>
      <c r="H27" s="10">
        <f>INDEX('1_bezr.'!B3:G28,MATCH(24,B4:B29,0),6)</f>
        <v>-339</v>
      </c>
    </row>
    <row r="28" spans="2:8" x14ac:dyDescent="0.2">
      <c r="B28" s="10">
        <f>RANK('1_bezr.'!C27,'1_bezr.'!$C$3:'1_bezr.'!$C$28,1)+COUNTIF('1_bezr.'!$C$3:'1_bezr.'!C27,'1_bezr.'!C27)-1</f>
        <v>2</v>
      </c>
      <c r="C28" s="8" t="str">
        <f>INDEX('1_bezr.'!B3:G28,MATCH(25,B4:B29,0),1)</f>
        <v>Rzeszów</v>
      </c>
      <c r="D28" s="10">
        <f>INDEX('1_bezr.'!B3:G28,MATCH(25,B4:B29,0),2)</f>
        <v>5508</v>
      </c>
      <c r="E28" s="9">
        <f>INDEX('1_bezr.'!B3:G28,MATCH(25,B4:B29,0),3)</f>
        <v>5550</v>
      </c>
      <c r="F28" s="10">
        <f>INDEX('1_bezr.'!B3:G28,MATCH(25,B4:B29,0),4)</f>
        <v>-42</v>
      </c>
      <c r="G28" s="9">
        <f>INDEX('1_bezr.'!B3:G28,MATCH(25,B4:B29,0),5)</f>
        <v>6300</v>
      </c>
      <c r="H28" s="10">
        <f>INDEX('1_bezr.'!B3:G28,MATCH(25,B4:B29,0),6)</f>
        <v>-792</v>
      </c>
    </row>
    <row r="29" spans="2:8" ht="15" x14ac:dyDescent="0.25">
      <c r="B29" s="34">
        <f>RANK('1_bezr.'!C28,'1_bezr.'!$C$3:'1_bezr.'!$C$28,1)+COUNTIF('1_bezr.'!$C$3:'1_bezr.'!C28,'1_bezr.'!C28)-1</f>
        <v>26</v>
      </c>
      <c r="C29" s="35" t="str">
        <f>INDEX('1_bezr.'!B3:G28,MATCH(26,B4:B29,0),1)</f>
        <v>województwo</v>
      </c>
      <c r="D29" s="34">
        <f>INDEX('1_bezr.'!B3:G28,MATCH(26,B4:B29,0),2)</f>
        <v>72068</v>
      </c>
      <c r="E29" s="17">
        <f>INDEX('1_bezr.'!B3:G28,MATCH(26,B4:B29,0),3)</f>
        <v>72274</v>
      </c>
      <c r="F29" s="34">
        <f>INDEX('1_bezr.'!B3:G28,MATCH(26,B4:B29,0),4)</f>
        <v>-206</v>
      </c>
      <c r="G29" s="17">
        <f>INDEX('1_bezr.'!B3:G28,MATCH(26,B4:B29,0),5)</f>
        <v>78858</v>
      </c>
      <c r="H29" s="34">
        <f>INDEX('1_bezr.'!B3:G28,MATCH(26,B4:B29,0),6)</f>
        <v>-6790</v>
      </c>
    </row>
    <row r="30" spans="2:8" x14ac:dyDescent="0.2">
      <c r="F30" s="30"/>
      <c r="H30" s="30"/>
    </row>
  </sheetData>
  <pageMargins left="0" right="0" top="0.31496062992125984" bottom="0.31496062992125984" header="0" footer="0"/>
  <pageSetup paperSize="9" scale="72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60497A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87</v>
      </c>
      <c r="C1" s="79"/>
      <c r="D1" s="79"/>
      <c r="E1" s="79"/>
      <c r="F1" s="79"/>
      <c r="G1" s="79"/>
      <c r="H1" s="79"/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T('10_oferty s.'!B3)</f>
        <v>powiaty</v>
      </c>
      <c r="D3" s="5" t="str">
        <f>T('10_oferty s.'!C3)</f>
        <v>liczba ofert w II '23 r.</v>
      </c>
      <c r="E3" s="5" t="str">
        <f>T('10_oferty s.'!D3)</f>
        <v>liczba ofert w I '23 r.</v>
      </c>
      <c r="F3" s="5" t="str">
        <f>T('10_oferty s.'!E3)</f>
        <v>wzrost/spadek do poprzedniego  miesiąca</v>
      </c>
      <c r="G3" s="5" t="str">
        <f>T('10_oferty s.'!F3)</f>
        <v>liczba ofert w II '22 r.</v>
      </c>
      <c r="H3" s="5" t="str">
        <f>T('10_oferty s.'!G3)</f>
        <v>wzrost/spadek do analogicznego okresu ubr.</v>
      </c>
    </row>
    <row r="4" spans="2:8" x14ac:dyDescent="0.2">
      <c r="B4" s="10">
        <f>RANK('10_oferty s.'!C4,'10_oferty s.'!$C$4:'10_oferty s.'!$C$29,1)+COUNTIF('10_oferty s.'!$C$4:'10_oferty s.'!C4,'10_oferty s.'!C4)-1</f>
        <v>10</v>
      </c>
      <c r="C4" s="8" t="str">
        <f>INDEX('10_oferty s.'!B4:G29,MATCH(1,B4:B29,0),1)</f>
        <v>leski</v>
      </c>
      <c r="D4" s="39">
        <f>INDEX('10_oferty s.'!B4:G29,MATCH(1,B4:B29,0),2)</f>
        <v>26</v>
      </c>
      <c r="E4" s="9">
        <f>INDEX('10_oferty s.'!B4:G29,MATCH(1,B4:B29,0),3)</f>
        <v>5</v>
      </c>
      <c r="F4" s="10">
        <f>INDEX('10_oferty s.'!B4:G29,MATCH(1,B4:B29,0),4)</f>
        <v>21</v>
      </c>
      <c r="G4" s="9">
        <f>INDEX('10_oferty s.'!B4:G29,MATCH(1,B4:B29,0),5)</f>
        <v>20</v>
      </c>
      <c r="H4" s="10">
        <f>INDEX('10_oferty s.'!B4:G29,MATCH(1,B4:B29,0),6)</f>
        <v>6</v>
      </c>
    </row>
    <row r="5" spans="2:8" x14ac:dyDescent="0.2">
      <c r="B5" s="10">
        <f>RANK('10_oferty s.'!C5,'10_oferty s.'!$C$4:'10_oferty s.'!$C$29,1)+COUNTIF('10_oferty s.'!$C$4:'10_oferty s.'!C5,'10_oferty s.'!C5)-1</f>
        <v>5</v>
      </c>
      <c r="C5" s="8" t="str">
        <f>INDEX('10_oferty s.'!B4:G29,MATCH(2,B4:B29,0),1)</f>
        <v>sanocki</v>
      </c>
      <c r="D5" s="10">
        <f>INDEX('10_oferty s.'!B4:G29,MATCH(2,B4:B29,0),2)</f>
        <v>26</v>
      </c>
      <c r="E5" s="9">
        <f>INDEX('10_oferty s.'!B4:G29,MATCH(2,B4:B29,0),3)</f>
        <v>10</v>
      </c>
      <c r="F5" s="10">
        <f>INDEX('10_oferty s.'!B4:G29,MATCH(2,B4:B29,0),4)</f>
        <v>16</v>
      </c>
      <c r="G5" s="9">
        <f>INDEX('10_oferty s.'!B4:G29,MATCH(2,B4:B29,0),5)</f>
        <v>30</v>
      </c>
      <c r="H5" s="10">
        <f>INDEX('10_oferty s.'!B4:G29,MATCH(2,B4:B29,0),6)</f>
        <v>-4</v>
      </c>
    </row>
    <row r="6" spans="2:8" x14ac:dyDescent="0.2">
      <c r="B6" s="10">
        <f>RANK('10_oferty s.'!C6,'10_oferty s.'!$C$4:'10_oferty s.'!$C$29,1)+COUNTIF('10_oferty s.'!$C$4:'10_oferty s.'!C6,'10_oferty s.'!C6)-1</f>
        <v>16</v>
      </c>
      <c r="C6" s="8" t="str">
        <f>INDEX('10_oferty s.'!B4:G29,MATCH(3,B4:B29,0),1)</f>
        <v>krośnieński</v>
      </c>
      <c r="D6" s="10">
        <f>INDEX('10_oferty s.'!B4:G29,MATCH(3,B4:B29,0),2)</f>
        <v>33</v>
      </c>
      <c r="E6" s="9">
        <f>INDEX('10_oferty s.'!B4:G29,MATCH(3,B4:B29,0),3)</f>
        <v>13</v>
      </c>
      <c r="F6" s="10">
        <f>INDEX('10_oferty s.'!B4:G29,MATCH(3,B4:B29,0),4)</f>
        <v>20</v>
      </c>
      <c r="G6" s="9">
        <f>INDEX('10_oferty s.'!B4:G29,MATCH(3,B4:B29,0),5)</f>
        <v>49</v>
      </c>
      <c r="H6" s="10">
        <f>INDEX('10_oferty s.'!B4:G29,MATCH(3,B4:B29,0),6)</f>
        <v>-16</v>
      </c>
    </row>
    <row r="7" spans="2:8" x14ac:dyDescent="0.2">
      <c r="B7" s="10">
        <f>RANK('10_oferty s.'!C7,'10_oferty s.'!$C$4:'10_oferty s.'!$C$29,1)+COUNTIF('10_oferty s.'!$C$4:'10_oferty s.'!C7,'10_oferty s.'!C7)-1</f>
        <v>25</v>
      </c>
      <c r="C7" s="8" t="str">
        <f>INDEX('10_oferty s.'!B4:G29,MATCH(4,B4:B29,0),1)</f>
        <v>rzeszowski</v>
      </c>
      <c r="D7" s="10">
        <f>INDEX('10_oferty s.'!B4:G29,MATCH(4,B4:B29,0),2)</f>
        <v>34</v>
      </c>
      <c r="E7" s="9">
        <f>INDEX('10_oferty s.'!B4:G29,MATCH(4,B4:B29,0),3)</f>
        <v>36</v>
      </c>
      <c r="F7" s="10">
        <f>INDEX('10_oferty s.'!B4:G29,MATCH(4,B4:B29,0),4)</f>
        <v>-2</v>
      </c>
      <c r="G7" s="9">
        <f>INDEX('10_oferty s.'!B4:G29,MATCH(4,B4:B29,0),5)</f>
        <v>38</v>
      </c>
      <c r="H7" s="10">
        <f>INDEX('10_oferty s.'!B4:G29,MATCH(4,B4:B29,0),6)</f>
        <v>-4</v>
      </c>
    </row>
    <row r="8" spans="2:8" x14ac:dyDescent="0.2">
      <c r="B8" s="10">
        <f>RANK('10_oferty s.'!C8,'10_oferty s.'!$C$4:'10_oferty s.'!$C$29,1)+COUNTIF('10_oferty s.'!$C$4:'10_oferty s.'!C8,'10_oferty s.'!C8)-1</f>
        <v>20</v>
      </c>
      <c r="C8" s="8" t="str">
        <f>INDEX('10_oferty s.'!B4:G29,MATCH(5,B4:B29,0),1)</f>
        <v>brzozowski</v>
      </c>
      <c r="D8" s="10">
        <f>INDEX('10_oferty s.'!B4:G29,MATCH(5,B4:B29,0),2)</f>
        <v>46</v>
      </c>
      <c r="E8" s="9">
        <f>INDEX('10_oferty s.'!B4:G29,MATCH(5,B4:B29,0),3)</f>
        <v>12</v>
      </c>
      <c r="F8" s="10">
        <f>INDEX('10_oferty s.'!B4:G29,MATCH(5,B4:B29,0),4)</f>
        <v>34</v>
      </c>
      <c r="G8" s="9">
        <f>INDEX('10_oferty s.'!B4:G29,MATCH(5,B4:B29,0),5)</f>
        <v>67</v>
      </c>
      <c r="H8" s="10">
        <f>INDEX('10_oferty s.'!B4:G29,MATCH(5,B4:B29,0),6)</f>
        <v>-21</v>
      </c>
    </row>
    <row r="9" spans="2:8" x14ac:dyDescent="0.2">
      <c r="B9" s="10">
        <f>RANK('10_oferty s.'!C9,'10_oferty s.'!$C$4:'10_oferty s.'!$C$29,1)+COUNTIF('10_oferty s.'!$C$4:'10_oferty s.'!C9,'10_oferty s.'!C9)-1</f>
        <v>14</v>
      </c>
      <c r="C9" s="8" t="str">
        <f>INDEX('10_oferty s.'!B4:G29,MATCH(6,B4:B29,0),1)</f>
        <v>przemyski</v>
      </c>
      <c r="D9" s="10">
        <f>INDEX('10_oferty s.'!B4:G29,MATCH(6,B4:B29,0),2)</f>
        <v>48</v>
      </c>
      <c r="E9" s="9">
        <f>INDEX('10_oferty s.'!B4:G29,MATCH(6,B4:B29,0),3)</f>
        <v>37</v>
      </c>
      <c r="F9" s="10">
        <f>INDEX('10_oferty s.'!B4:G29,MATCH(6,B4:B29,0),4)</f>
        <v>11</v>
      </c>
      <c r="G9" s="9">
        <f>INDEX('10_oferty s.'!B4:G29,MATCH(6,B4:B29,0),5)</f>
        <v>77</v>
      </c>
      <c r="H9" s="10">
        <f>INDEX('10_oferty s.'!B4:G29,MATCH(6,B4:B29,0),6)</f>
        <v>-29</v>
      </c>
    </row>
    <row r="10" spans="2:8" x14ac:dyDescent="0.2">
      <c r="B10" s="10">
        <f>RANK('10_oferty s.'!C10,'10_oferty s.'!$C$4:'10_oferty s.'!$C$29,1)+COUNTIF('10_oferty s.'!$C$4:'10_oferty s.'!C10,'10_oferty s.'!C10)-1</f>
        <v>3</v>
      </c>
      <c r="C10" s="13" t="str">
        <f>INDEX('10_oferty s.'!B4:G29,MATCH(7,B4:B29,0),1)</f>
        <v>ropczycko-sędziszowski</v>
      </c>
      <c r="D10" s="10">
        <f>INDEX('10_oferty s.'!B4:G29,MATCH(7,B4:B29,0),2)</f>
        <v>49</v>
      </c>
      <c r="E10" s="9">
        <f>INDEX('10_oferty s.'!B4:G29,MATCH(7,B4:B29,0),3)</f>
        <v>51</v>
      </c>
      <c r="F10" s="10">
        <f>INDEX('10_oferty s.'!B4:G29,MATCH(7,B4:B29,0),4)</f>
        <v>-2</v>
      </c>
      <c r="G10" s="9">
        <f>INDEX('10_oferty s.'!B4:G29,MATCH(7,B4:B29,0),5)</f>
        <v>85</v>
      </c>
      <c r="H10" s="10">
        <f>INDEX('10_oferty s.'!B4:G29,MATCH(7,B4:B29,0),6)</f>
        <v>-36</v>
      </c>
    </row>
    <row r="11" spans="2:8" x14ac:dyDescent="0.2">
      <c r="B11" s="10">
        <f>RANK('10_oferty s.'!C11,'10_oferty s.'!$C$4:'10_oferty s.'!$C$29,1)+COUNTIF('10_oferty s.'!$C$4:'10_oferty s.'!C11,'10_oferty s.'!C11)-1</f>
        <v>1</v>
      </c>
      <c r="C11" s="8" t="str">
        <f>INDEX('10_oferty s.'!B4:G29,MATCH(8,B4:B29,0),1)</f>
        <v>Przemyśl</v>
      </c>
      <c r="D11" s="10">
        <f>INDEX('10_oferty s.'!B4:G29,MATCH(8,B4:B29,0),2)</f>
        <v>49</v>
      </c>
      <c r="E11" s="9">
        <f>INDEX('10_oferty s.'!B4:G29,MATCH(8,B4:B29,0),3)</f>
        <v>80</v>
      </c>
      <c r="F11" s="10">
        <f>INDEX('10_oferty s.'!B4:G29,MATCH(8,B4:B29,0),4)</f>
        <v>-31</v>
      </c>
      <c r="G11" s="9">
        <f>INDEX('10_oferty s.'!B4:G29,MATCH(8,B4:B29,0),5)</f>
        <v>75</v>
      </c>
      <c r="H11" s="10">
        <f>INDEX('10_oferty s.'!B4:G29,MATCH(8,B4:B29,0),6)</f>
        <v>-26</v>
      </c>
    </row>
    <row r="12" spans="2:8" x14ac:dyDescent="0.2">
      <c r="B12" s="10">
        <f>RANK('10_oferty s.'!C12,'10_oferty s.'!$C$4:'10_oferty s.'!$C$29,1)+COUNTIF('10_oferty s.'!$C$4:'10_oferty s.'!C12,'10_oferty s.'!C12)-1</f>
        <v>19</v>
      </c>
      <c r="C12" s="8" t="str">
        <f>INDEX('10_oferty s.'!B4:G29,MATCH(9,B4:B29,0),1)</f>
        <v>Tarnobrzeg</v>
      </c>
      <c r="D12" s="10">
        <f>INDEX('10_oferty s.'!B4:G29,MATCH(9,B4:B29,0),2)</f>
        <v>61</v>
      </c>
      <c r="E12" s="9">
        <f>INDEX('10_oferty s.'!B4:G29,MATCH(9,B4:B29,0),3)</f>
        <v>28</v>
      </c>
      <c r="F12" s="10">
        <f>INDEX('10_oferty s.'!B4:G29,MATCH(9,B4:B29,0),4)</f>
        <v>33</v>
      </c>
      <c r="G12" s="9">
        <f>INDEX('10_oferty s.'!B4:G29,MATCH(9,B4:B29,0),5)</f>
        <v>42</v>
      </c>
      <c r="H12" s="10">
        <f>INDEX('10_oferty s.'!B4:G29,MATCH(9,B4:B29,0),6)</f>
        <v>19</v>
      </c>
    </row>
    <row r="13" spans="2:8" x14ac:dyDescent="0.2">
      <c r="B13" s="10">
        <f>RANK('10_oferty s.'!C13,'10_oferty s.'!$C$4:'10_oferty s.'!$C$29,1)+COUNTIF('10_oferty s.'!$C$4:'10_oferty s.'!C13,'10_oferty s.'!C13)-1</f>
        <v>15</v>
      </c>
      <c r="C13" s="8" t="str">
        <f>INDEX('10_oferty s.'!B4:G29,MATCH(10,B4:B29,0),1)</f>
        <v>bieszczadzki</v>
      </c>
      <c r="D13" s="10">
        <f>INDEX('10_oferty s.'!B4:G29,MATCH(10,B4:B29,0),2)</f>
        <v>66</v>
      </c>
      <c r="E13" s="9">
        <f>INDEX('10_oferty s.'!B4:G29,MATCH(10,B4:B29,0),3)</f>
        <v>24</v>
      </c>
      <c r="F13" s="10">
        <f>INDEX('10_oferty s.'!B4:G29,MATCH(10,B4:B29,0),4)</f>
        <v>42</v>
      </c>
      <c r="G13" s="9">
        <f>INDEX('10_oferty s.'!B4:G29,MATCH(10,B4:B29,0),5)</f>
        <v>49</v>
      </c>
      <c r="H13" s="10">
        <f>INDEX('10_oferty s.'!B4:G29,MATCH(10,B4:B29,0),6)</f>
        <v>17</v>
      </c>
    </row>
    <row r="14" spans="2:8" x14ac:dyDescent="0.2">
      <c r="B14" s="10">
        <f>RANK('10_oferty s.'!C14,'10_oferty s.'!$C$4:'10_oferty s.'!$C$29,1)+COUNTIF('10_oferty s.'!$C$4:'10_oferty s.'!C14,'10_oferty s.'!C14)-1</f>
        <v>21</v>
      </c>
      <c r="C14" s="8" t="str">
        <f>INDEX('10_oferty s.'!B4:G29,MATCH(11,B4:B29,0),1)</f>
        <v>niżański</v>
      </c>
      <c r="D14" s="10">
        <f>INDEX('10_oferty s.'!B4:G29,MATCH(11,B4:B29,0),2)</f>
        <v>69</v>
      </c>
      <c r="E14" s="9">
        <f>INDEX('10_oferty s.'!B4:G29,MATCH(11,B4:B29,0),3)</f>
        <v>30</v>
      </c>
      <c r="F14" s="10">
        <f>INDEX('10_oferty s.'!B4:G29,MATCH(11,B4:B29,0),4)</f>
        <v>39</v>
      </c>
      <c r="G14" s="9">
        <f>INDEX('10_oferty s.'!B4:G29,MATCH(11,B4:B29,0),5)</f>
        <v>88</v>
      </c>
      <c r="H14" s="10">
        <f>INDEX('10_oferty s.'!B4:G29,MATCH(11,B4:B29,0),6)</f>
        <v>-19</v>
      </c>
    </row>
    <row r="15" spans="2:8" x14ac:dyDescent="0.2">
      <c r="B15" s="10">
        <f>RANK('10_oferty s.'!C15,'10_oferty s.'!$C$4:'10_oferty s.'!$C$29,1)+COUNTIF('10_oferty s.'!$C$4:'10_oferty s.'!C15,'10_oferty s.'!C15)-1</f>
        <v>22</v>
      </c>
      <c r="C15" s="8" t="str">
        <f>INDEX('10_oferty s.'!B4:G29,MATCH(12,B4:B29,0),1)</f>
        <v>Krosno</v>
      </c>
      <c r="D15" s="10">
        <f>INDEX('10_oferty s.'!B4:G29,MATCH(12,B4:B29,0),2)</f>
        <v>74</v>
      </c>
      <c r="E15" s="9">
        <f>INDEX('10_oferty s.'!B4:G29,MATCH(12,B4:B29,0),3)</f>
        <v>32</v>
      </c>
      <c r="F15" s="10">
        <f>INDEX('10_oferty s.'!B4:G29,MATCH(12,B4:B29,0),4)</f>
        <v>42</v>
      </c>
      <c r="G15" s="9">
        <f>INDEX('10_oferty s.'!B4:G29,MATCH(12,B4:B29,0),5)</f>
        <v>47</v>
      </c>
      <c r="H15" s="10">
        <f>INDEX('10_oferty s.'!B4:G29,MATCH(12,B4:B29,0),6)</f>
        <v>27</v>
      </c>
    </row>
    <row r="16" spans="2:8" x14ac:dyDescent="0.2">
      <c r="B16" s="10">
        <f>RANK('10_oferty s.'!C16,'10_oferty s.'!$C$4:'10_oferty s.'!$C$29,1)+COUNTIF('10_oferty s.'!$C$4:'10_oferty s.'!C16,'10_oferty s.'!C16)-1</f>
        <v>11</v>
      </c>
      <c r="C16" s="8" t="str">
        <f>INDEX('10_oferty s.'!B4:G29,MATCH(13,B4:B29,0),1)</f>
        <v>stalowowolski</v>
      </c>
      <c r="D16" s="10">
        <f>INDEX('10_oferty s.'!B4:G29,MATCH(13,B4:B29,0),2)</f>
        <v>75</v>
      </c>
      <c r="E16" s="9">
        <f>INDEX('10_oferty s.'!B4:G29,MATCH(13,B4:B29,0),3)</f>
        <v>24</v>
      </c>
      <c r="F16" s="10">
        <f>INDEX('10_oferty s.'!B4:G29,MATCH(13,B4:B29,0),4)</f>
        <v>51</v>
      </c>
      <c r="G16" s="9">
        <f>INDEX('10_oferty s.'!B4:G29,MATCH(13,B4:B29,0),5)</f>
        <v>55</v>
      </c>
      <c r="H16" s="10">
        <f>INDEX('10_oferty s.'!B4:G29,MATCH(13,B4:B29,0),6)</f>
        <v>20</v>
      </c>
    </row>
    <row r="17" spans="2:8" x14ac:dyDescent="0.2">
      <c r="B17" s="10">
        <f>RANK('10_oferty s.'!C17,'10_oferty s.'!$C$4:'10_oferty s.'!$C$29,1)+COUNTIF('10_oferty s.'!$C$4:'10_oferty s.'!C17,'10_oferty s.'!C17)-1</f>
        <v>6</v>
      </c>
      <c r="C17" s="8" t="str">
        <f>INDEX('10_oferty s.'!B4:G29,MATCH(14,B4:B29,0),1)</f>
        <v>kolbuszowski</v>
      </c>
      <c r="D17" s="10">
        <f>INDEX('10_oferty s.'!B4:G29,MATCH(14,B4:B29,0),2)</f>
        <v>78</v>
      </c>
      <c r="E17" s="9">
        <f>INDEX('10_oferty s.'!B4:G29,MATCH(14,B4:B29,0),3)</f>
        <v>8</v>
      </c>
      <c r="F17" s="10">
        <f>INDEX('10_oferty s.'!B4:G29,MATCH(14,B4:B29,0),4)</f>
        <v>70</v>
      </c>
      <c r="G17" s="9">
        <f>INDEX('10_oferty s.'!B4:G29,MATCH(14,B4:B29,0),5)</f>
        <v>54</v>
      </c>
      <c r="H17" s="10">
        <f>INDEX('10_oferty s.'!B4:G29,MATCH(14,B4:B29,0),6)</f>
        <v>24</v>
      </c>
    </row>
    <row r="18" spans="2:8" x14ac:dyDescent="0.2">
      <c r="B18" s="10">
        <f>RANK('10_oferty s.'!C18,'10_oferty s.'!$C$4:'10_oferty s.'!$C$29,1)+COUNTIF('10_oferty s.'!$C$4:'10_oferty s.'!C18,'10_oferty s.'!C18)-1</f>
        <v>24</v>
      </c>
      <c r="C18" s="8" t="str">
        <f>INDEX('10_oferty s.'!B4:G29,MATCH(15,B4:B29,0),1)</f>
        <v>lubaczowski</v>
      </c>
      <c r="D18" s="10">
        <f>INDEX('10_oferty s.'!B4:G29,MATCH(15,B4:B29,0),2)</f>
        <v>79</v>
      </c>
      <c r="E18" s="9">
        <f>INDEX('10_oferty s.'!B4:G29,MATCH(15,B4:B29,0),3)</f>
        <v>21</v>
      </c>
      <c r="F18" s="10">
        <f>INDEX('10_oferty s.'!B4:G29,MATCH(15,B4:B29,0),4)</f>
        <v>58</v>
      </c>
      <c r="G18" s="9">
        <f>INDEX('10_oferty s.'!B4:G29,MATCH(15,B4:B29,0),5)</f>
        <v>70</v>
      </c>
      <c r="H18" s="10">
        <f>INDEX('10_oferty s.'!B4:G29,MATCH(15,B4:B29,0),6)</f>
        <v>9</v>
      </c>
    </row>
    <row r="19" spans="2:8" x14ac:dyDescent="0.2">
      <c r="B19" s="10">
        <f>RANK('10_oferty s.'!C19,'10_oferty s.'!$C$4:'10_oferty s.'!$C$29,1)+COUNTIF('10_oferty s.'!$C$4:'10_oferty s.'!C19,'10_oferty s.'!C19)-1</f>
        <v>7</v>
      </c>
      <c r="C19" s="8" t="str">
        <f>INDEX('10_oferty s.'!B4:G29,MATCH(16,B4:B29,0),1)</f>
        <v>dębicki</v>
      </c>
      <c r="D19" s="10">
        <f>INDEX('10_oferty s.'!B4:G29,MATCH(16,B4:B29,0),2)</f>
        <v>88</v>
      </c>
      <c r="E19" s="9">
        <f>INDEX('10_oferty s.'!B4:G29,MATCH(16,B4:B29,0),3)</f>
        <v>42</v>
      </c>
      <c r="F19" s="10">
        <f>INDEX('10_oferty s.'!B4:G29,MATCH(16,B4:B29,0),4)</f>
        <v>46</v>
      </c>
      <c r="G19" s="9">
        <f>INDEX('10_oferty s.'!B4:G29,MATCH(16,B4:B29,0),5)</f>
        <v>68</v>
      </c>
      <c r="H19" s="10">
        <f>INDEX('10_oferty s.'!B4:G29,MATCH(16,B4:B29,0),6)</f>
        <v>20</v>
      </c>
    </row>
    <row r="20" spans="2:8" x14ac:dyDescent="0.2">
      <c r="B20" s="10">
        <f>RANK('10_oferty s.'!C20,'10_oferty s.'!$C$4:'10_oferty s.'!$C$29,1)+COUNTIF('10_oferty s.'!$C$4:'10_oferty s.'!C20,'10_oferty s.'!C20)-1</f>
        <v>4</v>
      </c>
      <c r="C20" s="8" t="str">
        <f>INDEX('10_oferty s.'!B4:G29,MATCH(17,B4:B29,0),1)</f>
        <v>Rzeszów</v>
      </c>
      <c r="D20" s="10">
        <f>INDEX('10_oferty s.'!B4:G29,MATCH(17,B4:B29,0),2)</f>
        <v>97</v>
      </c>
      <c r="E20" s="9">
        <f>INDEX('10_oferty s.'!B4:G29,MATCH(17,B4:B29,0),3)</f>
        <v>67</v>
      </c>
      <c r="F20" s="10">
        <f>INDEX('10_oferty s.'!B4:G29,MATCH(17,B4:B29,0),4)</f>
        <v>30</v>
      </c>
      <c r="G20" s="9">
        <f>INDEX('10_oferty s.'!B4:G29,MATCH(17,B4:B29,0),5)</f>
        <v>80</v>
      </c>
      <c r="H20" s="10">
        <f>INDEX('10_oferty s.'!B4:G29,MATCH(17,B4:B29,0),6)</f>
        <v>17</v>
      </c>
    </row>
    <row r="21" spans="2:8" x14ac:dyDescent="0.2">
      <c r="B21" s="10">
        <f>RANK('10_oferty s.'!C21,'10_oferty s.'!$C$4:'10_oferty s.'!$C$29,1)+COUNTIF('10_oferty s.'!$C$4:'10_oferty s.'!C21,'10_oferty s.'!C21)-1</f>
        <v>2</v>
      </c>
      <c r="C21" s="8" t="str">
        <f>INDEX('10_oferty s.'!B4:G29,MATCH(18,B4:B29,0),1)</f>
        <v xml:space="preserve">tarnobrzeski </v>
      </c>
      <c r="D21" s="10">
        <f>INDEX('10_oferty s.'!B4:G29,MATCH(18,B4:B29,0),2)</f>
        <v>98</v>
      </c>
      <c r="E21" s="9">
        <f>INDEX('10_oferty s.'!B4:G29,MATCH(18,B4:B29,0),3)</f>
        <v>17</v>
      </c>
      <c r="F21" s="10">
        <f>INDEX('10_oferty s.'!B4:G29,MATCH(18,B4:B29,0),4)</f>
        <v>81</v>
      </c>
      <c r="G21" s="9">
        <f>INDEX('10_oferty s.'!B4:G29,MATCH(18,B4:B29,0),5)</f>
        <v>63</v>
      </c>
      <c r="H21" s="10">
        <f>INDEX('10_oferty s.'!B4:G29,MATCH(18,B4:B29,0),6)</f>
        <v>35</v>
      </c>
    </row>
    <row r="22" spans="2:8" x14ac:dyDescent="0.2">
      <c r="B22" s="10">
        <f>RANK('10_oferty s.'!C22,'10_oferty s.'!$C$4:'10_oferty s.'!$C$29,1)+COUNTIF('10_oferty s.'!$C$4:'10_oferty s.'!C22,'10_oferty s.'!C22)-1</f>
        <v>13</v>
      </c>
      <c r="C22" s="8" t="str">
        <f>INDEX('10_oferty s.'!B4:G29,MATCH(19,B4:B29,0),1)</f>
        <v>leżajski</v>
      </c>
      <c r="D22" s="10">
        <f>INDEX('10_oferty s.'!B4:G29,MATCH(19,B4:B29,0),2)</f>
        <v>113</v>
      </c>
      <c r="E22" s="9">
        <f>INDEX('10_oferty s.'!B4:G29,MATCH(19,B4:B29,0),3)</f>
        <v>2</v>
      </c>
      <c r="F22" s="10">
        <f>INDEX('10_oferty s.'!B4:G29,MATCH(19,B4:B29,0),4)</f>
        <v>111</v>
      </c>
      <c r="G22" s="9">
        <f>INDEX('10_oferty s.'!B4:G29,MATCH(19,B4:B29,0),5)</f>
        <v>154</v>
      </c>
      <c r="H22" s="10">
        <f>INDEX('10_oferty s.'!B4:G29,MATCH(19,B4:B29,0),6)</f>
        <v>-41</v>
      </c>
    </row>
    <row r="23" spans="2:8" x14ac:dyDescent="0.2">
      <c r="B23" s="10">
        <f>RANK('10_oferty s.'!C23,'10_oferty s.'!$C$4:'10_oferty s.'!$C$29,1)+COUNTIF('10_oferty s.'!$C$4:'10_oferty s.'!C23,'10_oferty s.'!C23)-1</f>
        <v>23</v>
      </c>
      <c r="C23" s="8" t="str">
        <f>INDEX('10_oferty s.'!B4:G29,MATCH(20,B4:B29,0),1)</f>
        <v>jasielski</v>
      </c>
      <c r="D23" s="10">
        <f>INDEX('10_oferty s.'!B4:G29,MATCH(20,B4:B29,0),2)</f>
        <v>123</v>
      </c>
      <c r="E23" s="9">
        <f>INDEX('10_oferty s.'!B4:G29,MATCH(20,B4:B29,0),3)</f>
        <v>93</v>
      </c>
      <c r="F23" s="10">
        <f>INDEX('10_oferty s.'!B4:G29,MATCH(20,B4:B29,0),4)</f>
        <v>30</v>
      </c>
      <c r="G23" s="9">
        <f>INDEX('10_oferty s.'!B4:G29,MATCH(20,B4:B29,0),5)</f>
        <v>70</v>
      </c>
      <c r="H23" s="10">
        <f>INDEX('10_oferty s.'!B4:G29,MATCH(20,B4:B29,0),6)</f>
        <v>53</v>
      </c>
    </row>
    <row r="24" spans="2:8" x14ac:dyDescent="0.2">
      <c r="B24" s="10">
        <f>RANK('10_oferty s.'!C24,'10_oferty s.'!$C$4:'10_oferty s.'!$C$29,1)+COUNTIF('10_oferty s.'!$C$4:'10_oferty s.'!C24,'10_oferty s.'!C24)-1</f>
        <v>18</v>
      </c>
      <c r="C24" s="8" t="str">
        <f>INDEX('10_oferty s.'!B4:G29,MATCH(21,B4:B29,0),1)</f>
        <v>łańcucki</v>
      </c>
      <c r="D24" s="10">
        <f>INDEX('10_oferty s.'!B4:G29,MATCH(21,B4:B29,0),2)</f>
        <v>123</v>
      </c>
      <c r="E24" s="9">
        <f>INDEX('10_oferty s.'!B4:G29,MATCH(21,B4:B29,0),3)</f>
        <v>58</v>
      </c>
      <c r="F24" s="10">
        <f>INDEX('10_oferty s.'!B4:G29,MATCH(21,B4:B29,0),4)</f>
        <v>65</v>
      </c>
      <c r="G24" s="9">
        <f>INDEX('10_oferty s.'!B4:G29,MATCH(21,B4:B29,0),5)</f>
        <v>81</v>
      </c>
      <c r="H24" s="10">
        <f>INDEX('10_oferty s.'!B4:G29,MATCH(21,B4:B29,0),6)</f>
        <v>42</v>
      </c>
    </row>
    <row r="25" spans="2:8" x14ac:dyDescent="0.2">
      <c r="B25" s="10">
        <f>RANK('10_oferty s.'!C25,'10_oferty s.'!$C$4:'10_oferty s.'!$C$29,1)+COUNTIF('10_oferty s.'!$C$4:'10_oferty s.'!C25,'10_oferty s.'!C25)-1</f>
        <v>12</v>
      </c>
      <c r="C25" s="8" t="str">
        <f>INDEX('10_oferty s.'!B4:G29,MATCH(22,B4:B29,0),1)</f>
        <v>mielecki</v>
      </c>
      <c r="D25" s="10">
        <f>INDEX('10_oferty s.'!B4:G29,MATCH(22,B4:B29,0),2)</f>
        <v>130</v>
      </c>
      <c r="E25" s="9">
        <f>INDEX('10_oferty s.'!B4:G29,MATCH(22,B4:B29,0),3)</f>
        <v>28</v>
      </c>
      <c r="F25" s="10">
        <f>INDEX('10_oferty s.'!B4:G29,MATCH(22,B4:B29,0),4)</f>
        <v>102</v>
      </c>
      <c r="G25" s="9">
        <f>INDEX('10_oferty s.'!B4:G29,MATCH(22,B4:B29,0),5)</f>
        <v>131</v>
      </c>
      <c r="H25" s="10">
        <f>INDEX('10_oferty s.'!B4:G29,MATCH(22,B4:B29,0),6)</f>
        <v>-1</v>
      </c>
    </row>
    <row r="26" spans="2:8" x14ac:dyDescent="0.2">
      <c r="B26" s="10">
        <f>RANK('10_oferty s.'!C26,'10_oferty s.'!$C$4:'10_oferty s.'!$C$29,1)+COUNTIF('10_oferty s.'!$C$4:'10_oferty s.'!C26,'10_oferty s.'!C26)-1</f>
        <v>8</v>
      </c>
      <c r="C26" s="8" t="str">
        <f>INDEX('10_oferty s.'!B4:G29,MATCH(23,B4:B29,0),1)</f>
        <v>strzyżowski</v>
      </c>
      <c r="D26" s="10">
        <f>INDEX('10_oferty s.'!B4:G29,MATCH(23,B4:B29,0),2)</f>
        <v>143</v>
      </c>
      <c r="E26" s="9">
        <f>INDEX('10_oferty s.'!B4:G29,MATCH(23,B4:B29,0),3)</f>
        <v>63</v>
      </c>
      <c r="F26" s="10">
        <f>INDEX('10_oferty s.'!B4:G29,MATCH(23,B4:B29,0),4)</f>
        <v>80</v>
      </c>
      <c r="G26" s="9">
        <f>INDEX('10_oferty s.'!B4:G29,MATCH(23,B4:B29,0),5)</f>
        <v>126</v>
      </c>
      <c r="H26" s="10">
        <f>INDEX('10_oferty s.'!B4:G29,MATCH(23,B4:B29,0),6)</f>
        <v>17</v>
      </c>
    </row>
    <row r="27" spans="2:8" x14ac:dyDescent="0.2">
      <c r="B27" s="10">
        <f>RANK('10_oferty s.'!C27,'10_oferty s.'!$C$4:'10_oferty s.'!$C$29,1)+COUNTIF('10_oferty s.'!$C$4:'10_oferty s.'!C27,'10_oferty s.'!C27)-1</f>
        <v>17</v>
      </c>
      <c r="C27" s="8" t="str">
        <f>INDEX('10_oferty s.'!B4:G29,MATCH(24,B4:B29,0),1)</f>
        <v>przeworski</v>
      </c>
      <c r="D27" s="10">
        <f>INDEX('10_oferty s.'!B4:G29,MATCH(24,B4:B29,0),2)</f>
        <v>144</v>
      </c>
      <c r="E27" s="9">
        <f>INDEX('10_oferty s.'!B4:G29,MATCH(24,B4:B29,0),3)</f>
        <v>148</v>
      </c>
      <c r="F27" s="10">
        <f>INDEX('10_oferty s.'!B4:G29,MATCH(24,B4:B29,0),4)</f>
        <v>-4</v>
      </c>
      <c r="G27" s="9">
        <f>INDEX('10_oferty s.'!B4:G29,MATCH(24,B4:B29,0),5)</f>
        <v>119</v>
      </c>
      <c r="H27" s="10">
        <f>INDEX('10_oferty s.'!B4:G29,MATCH(24,B4:B29,0),6)</f>
        <v>25</v>
      </c>
    </row>
    <row r="28" spans="2:8" x14ac:dyDescent="0.2">
      <c r="B28" s="10">
        <f>RANK('10_oferty s.'!C28,'10_oferty s.'!$C$4:'10_oferty s.'!$C$29,1)+COUNTIF('10_oferty s.'!$C$4:'10_oferty s.'!C28,'10_oferty s.'!C28)-1</f>
        <v>9</v>
      </c>
      <c r="C28" s="8" t="str">
        <f>INDEX('10_oferty s.'!B4:G29,MATCH(25,B4:B29,0),1)</f>
        <v>jarosławski</v>
      </c>
      <c r="D28" s="10">
        <f>INDEX('10_oferty s.'!B4:G29,MATCH(25,B4:B29,0),2)</f>
        <v>281</v>
      </c>
      <c r="E28" s="9">
        <f>INDEX('10_oferty s.'!B4:G29,MATCH(25,B4:B29,0),3)</f>
        <v>25</v>
      </c>
      <c r="F28" s="10">
        <f>INDEX('10_oferty s.'!B4:G29,MATCH(25,B4:B29,0),4)</f>
        <v>256</v>
      </c>
      <c r="G28" s="9">
        <f>INDEX('10_oferty s.'!B4:G29,MATCH(25,B4:B29,0),5)</f>
        <v>280</v>
      </c>
      <c r="H28" s="10">
        <f>INDEX('10_oferty s.'!B4:G29,MATCH(25,B4:B29,0),6)</f>
        <v>1</v>
      </c>
    </row>
    <row r="29" spans="2:8" ht="15" x14ac:dyDescent="0.25">
      <c r="B29" s="34">
        <f>RANK('10_oferty s.'!C29,'10_oferty s.'!$C$4:'10_oferty s.'!$C$29,1)+COUNTIF('10_oferty s.'!$C$4:'10_oferty s.'!C29,'10_oferty s.'!C29)-1</f>
        <v>26</v>
      </c>
      <c r="C29" s="35" t="str">
        <f>INDEX('10_oferty s.'!B4:G29,MATCH(26,B4:B29,0),1)</f>
        <v>województwo</v>
      </c>
      <c r="D29" s="34">
        <f>INDEX('10_oferty s.'!B4:G29,MATCH(26,B4:B29,0),2)</f>
        <v>2153</v>
      </c>
      <c r="E29" s="17">
        <f>INDEX('10_oferty s.'!B4:G29,MATCH(26,B4:B29,0),3)</f>
        <v>954</v>
      </c>
      <c r="F29" s="34">
        <f>INDEX('10_oferty s.'!B4:G29,MATCH(26,B4:B29,0),4)</f>
        <v>1199</v>
      </c>
      <c r="G29" s="17">
        <f>INDEX('10_oferty s.'!B4:G29,MATCH(26,B4:B29,0),5)</f>
        <v>2018</v>
      </c>
      <c r="H29" s="34">
        <f>INDEX('10_oferty s.'!B4:G29,MATCH(26,B4:B29,0),6)</f>
        <v>135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80E0D-B0EF-47B0-9BED-4BA60E34CD96}">
  <sheetPr>
    <tabColor rgb="FFCCC0DA"/>
  </sheetPr>
  <dimension ref="B1:K32"/>
  <sheetViews>
    <sheetView zoomScale="80" zoomScaleNormal="8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78" t="s">
        <v>99</v>
      </c>
      <c r="C1" s="76"/>
      <c r="D1" s="76"/>
      <c r="E1" s="76"/>
      <c r="F1" s="76"/>
      <c r="G1" s="76"/>
      <c r="H1" s="77"/>
      <c r="I1" s="77"/>
      <c r="J1" s="77"/>
      <c r="K1" s="77"/>
    </row>
    <row r="2" spans="2:11" ht="14.25" customHeight="1" x14ac:dyDescent="0.2">
      <c r="B2" s="1" t="s">
        <v>100</v>
      </c>
      <c r="C2" s="70"/>
      <c r="D2" s="70"/>
      <c r="E2" s="70"/>
      <c r="F2" s="70"/>
      <c r="G2" s="70"/>
      <c r="H2" s="77"/>
      <c r="I2" s="77"/>
      <c r="J2" s="77"/>
      <c r="K2" s="77"/>
    </row>
    <row r="3" spans="2:11" ht="57" x14ac:dyDescent="0.2">
      <c r="B3" s="5" t="s">
        <v>27</v>
      </c>
      <c r="C3" s="6" t="s">
        <v>128</v>
      </c>
      <c r="D3" s="7" t="s">
        <v>109</v>
      </c>
      <c r="E3" s="6" t="s">
        <v>28</v>
      </c>
      <c r="F3" s="7" t="s">
        <v>129</v>
      </c>
      <c r="G3" s="6" t="s">
        <v>26</v>
      </c>
    </row>
    <row r="4" spans="2:11" x14ac:dyDescent="0.2">
      <c r="B4" s="8" t="s">
        <v>0</v>
      </c>
      <c r="C4" s="73">
        <v>35</v>
      </c>
      <c r="D4" s="9">
        <v>25</v>
      </c>
      <c r="E4" s="73">
        <f t="shared" ref="E4:E28" si="0">SUM(C4)-D4</f>
        <v>10</v>
      </c>
      <c r="F4" s="9">
        <v>31</v>
      </c>
      <c r="G4" s="73">
        <f t="shared" ref="G4:G28" si="1">SUM(C4)-F4</f>
        <v>4</v>
      </c>
      <c r="H4" s="11"/>
    </row>
    <row r="5" spans="2:11" x14ac:dyDescent="0.2">
      <c r="B5" s="8" t="s">
        <v>1</v>
      </c>
      <c r="C5" s="73">
        <v>6</v>
      </c>
      <c r="D5" s="9">
        <v>1</v>
      </c>
      <c r="E5" s="73">
        <f t="shared" si="0"/>
        <v>5</v>
      </c>
      <c r="F5" s="9">
        <v>4</v>
      </c>
      <c r="G5" s="73">
        <f t="shared" si="1"/>
        <v>2</v>
      </c>
      <c r="H5" s="11"/>
    </row>
    <row r="6" spans="2:11" x14ac:dyDescent="0.2">
      <c r="B6" s="8" t="s">
        <v>2</v>
      </c>
      <c r="C6" s="73">
        <v>191</v>
      </c>
      <c r="D6" s="9">
        <v>162</v>
      </c>
      <c r="E6" s="73">
        <f t="shared" si="0"/>
        <v>29</v>
      </c>
      <c r="F6" s="9">
        <v>350</v>
      </c>
      <c r="G6" s="73">
        <f t="shared" si="1"/>
        <v>-159</v>
      </c>
      <c r="H6" s="11"/>
    </row>
    <row r="7" spans="2:11" x14ac:dyDescent="0.2">
      <c r="B7" s="8" t="s">
        <v>3</v>
      </c>
      <c r="C7" s="73">
        <v>132</v>
      </c>
      <c r="D7" s="9">
        <v>76</v>
      </c>
      <c r="E7" s="73">
        <f t="shared" si="0"/>
        <v>56</v>
      </c>
      <c r="F7" s="9">
        <v>127</v>
      </c>
      <c r="G7" s="73">
        <f t="shared" si="1"/>
        <v>5</v>
      </c>
      <c r="H7" s="11"/>
    </row>
    <row r="8" spans="2:11" x14ac:dyDescent="0.2">
      <c r="B8" s="8" t="s">
        <v>4</v>
      </c>
      <c r="C8" s="73">
        <v>159</v>
      </c>
      <c r="D8" s="9">
        <v>220</v>
      </c>
      <c r="E8" s="73">
        <f t="shared" si="0"/>
        <v>-61</v>
      </c>
      <c r="F8" s="9">
        <v>118</v>
      </c>
      <c r="G8" s="73">
        <f t="shared" si="1"/>
        <v>41</v>
      </c>
      <c r="H8" s="11"/>
    </row>
    <row r="9" spans="2:11" x14ac:dyDescent="0.2">
      <c r="B9" s="8" t="s">
        <v>5</v>
      </c>
      <c r="C9" s="73">
        <v>79</v>
      </c>
      <c r="D9" s="9">
        <v>92</v>
      </c>
      <c r="E9" s="73">
        <f t="shared" si="0"/>
        <v>-13</v>
      </c>
      <c r="F9" s="9">
        <v>85</v>
      </c>
      <c r="G9" s="73">
        <f t="shared" si="1"/>
        <v>-6</v>
      </c>
      <c r="H9" s="11"/>
    </row>
    <row r="10" spans="2:11" x14ac:dyDescent="0.2">
      <c r="B10" s="13" t="s">
        <v>6</v>
      </c>
      <c r="C10" s="73">
        <v>107</v>
      </c>
      <c r="D10" s="9">
        <v>45</v>
      </c>
      <c r="E10" s="73">
        <f t="shared" si="0"/>
        <v>62</v>
      </c>
      <c r="F10" s="9">
        <v>111</v>
      </c>
      <c r="G10" s="73">
        <f t="shared" si="1"/>
        <v>-4</v>
      </c>
      <c r="H10" s="11"/>
    </row>
    <row r="11" spans="2:11" x14ac:dyDescent="0.2">
      <c r="B11" s="8" t="s">
        <v>7</v>
      </c>
      <c r="C11" s="73">
        <v>9</v>
      </c>
      <c r="D11" s="9">
        <v>7</v>
      </c>
      <c r="E11" s="73">
        <f t="shared" si="0"/>
        <v>2</v>
      </c>
      <c r="F11" s="9">
        <v>18</v>
      </c>
      <c r="G11" s="73">
        <f t="shared" si="1"/>
        <v>-9</v>
      </c>
      <c r="H11" s="11"/>
    </row>
    <row r="12" spans="2:11" x14ac:dyDescent="0.2">
      <c r="B12" s="8" t="s">
        <v>8</v>
      </c>
      <c r="C12" s="73">
        <v>73</v>
      </c>
      <c r="D12" s="9">
        <v>80</v>
      </c>
      <c r="E12" s="73">
        <f t="shared" si="0"/>
        <v>-7</v>
      </c>
      <c r="F12" s="9">
        <v>125</v>
      </c>
      <c r="G12" s="73">
        <f t="shared" si="1"/>
        <v>-52</v>
      </c>
      <c r="H12" s="11"/>
    </row>
    <row r="13" spans="2:11" x14ac:dyDescent="0.2">
      <c r="B13" s="8" t="s">
        <v>9</v>
      </c>
      <c r="C13" s="73">
        <v>59</v>
      </c>
      <c r="D13" s="9">
        <v>26</v>
      </c>
      <c r="E13" s="73">
        <f t="shared" si="0"/>
        <v>33</v>
      </c>
      <c r="F13" s="9">
        <v>72</v>
      </c>
      <c r="G13" s="73">
        <f t="shared" si="1"/>
        <v>-13</v>
      </c>
      <c r="H13" s="11"/>
    </row>
    <row r="14" spans="2:11" x14ac:dyDescent="0.2">
      <c r="B14" s="8" t="s">
        <v>10</v>
      </c>
      <c r="C14" s="73">
        <v>101</v>
      </c>
      <c r="D14" s="9">
        <v>82</v>
      </c>
      <c r="E14" s="73">
        <f t="shared" si="0"/>
        <v>19</v>
      </c>
      <c r="F14" s="9">
        <v>105</v>
      </c>
      <c r="G14" s="73">
        <f t="shared" si="1"/>
        <v>-4</v>
      </c>
      <c r="H14" s="11"/>
    </row>
    <row r="15" spans="2:11" x14ac:dyDescent="0.2">
      <c r="B15" s="8" t="s">
        <v>11</v>
      </c>
      <c r="C15" s="73">
        <v>228</v>
      </c>
      <c r="D15" s="9">
        <v>135</v>
      </c>
      <c r="E15" s="73">
        <f t="shared" si="0"/>
        <v>93</v>
      </c>
      <c r="F15" s="9">
        <v>227</v>
      </c>
      <c r="G15" s="73">
        <f t="shared" si="1"/>
        <v>1</v>
      </c>
      <c r="H15" s="11"/>
    </row>
    <row r="16" spans="2:11" x14ac:dyDescent="0.2">
      <c r="B16" s="8" t="s">
        <v>12</v>
      </c>
      <c r="C16" s="73">
        <v>72</v>
      </c>
      <c r="D16" s="9">
        <v>38</v>
      </c>
      <c r="E16" s="73">
        <f t="shared" si="0"/>
        <v>34</v>
      </c>
      <c r="F16" s="9">
        <v>57</v>
      </c>
      <c r="G16" s="73">
        <f t="shared" si="1"/>
        <v>15</v>
      </c>
      <c r="H16" s="11"/>
    </row>
    <row r="17" spans="2:8" x14ac:dyDescent="0.2">
      <c r="B17" s="8" t="s">
        <v>13</v>
      </c>
      <c r="C17" s="73">
        <v>20</v>
      </c>
      <c r="D17" s="9">
        <v>19</v>
      </c>
      <c r="E17" s="73">
        <f t="shared" si="0"/>
        <v>1</v>
      </c>
      <c r="F17" s="9">
        <v>8</v>
      </c>
      <c r="G17" s="73">
        <f t="shared" si="1"/>
        <v>12</v>
      </c>
      <c r="H17" s="11"/>
    </row>
    <row r="18" spans="2:8" x14ac:dyDescent="0.2">
      <c r="B18" s="8" t="s">
        <v>14</v>
      </c>
      <c r="C18" s="73">
        <v>127</v>
      </c>
      <c r="D18" s="9">
        <v>119</v>
      </c>
      <c r="E18" s="73">
        <f t="shared" si="0"/>
        <v>8</v>
      </c>
      <c r="F18" s="9">
        <v>116</v>
      </c>
      <c r="G18" s="73">
        <f t="shared" si="1"/>
        <v>11</v>
      </c>
      <c r="H18" s="11"/>
    </row>
    <row r="19" spans="2:8" x14ac:dyDescent="0.2">
      <c r="B19" s="8" t="s">
        <v>15</v>
      </c>
      <c r="C19" s="73">
        <v>56</v>
      </c>
      <c r="D19" s="9">
        <v>138</v>
      </c>
      <c r="E19" s="73">
        <f t="shared" si="0"/>
        <v>-82</v>
      </c>
      <c r="F19" s="9">
        <v>84</v>
      </c>
      <c r="G19" s="73">
        <f t="shared" si="1"/>
        <v>-28</v>
      </c>
      <c r="H19" s="11"/>
    </row>
    <row r="20" spans="2:8" x14ac:dyDescent="0.2">
      <c r="B20" s="8" t="s">
        <v>16</v>
      </c>
      <c r="C20" s="73">
        <v>87</v>
      </c>
      <c r="D20" s="9">
        <v>65</v>
      </c>
      <c r="E20" s="73">
        <f t="shared" si="0"/>
        <v>22</v>
      </c>
      <c r="F20" s="9">
        <v>78</v>
      </c>
      <c r="G20" s="73">
        <f t="shared" si="1"/>
        <v>9</v>
      </c>
      <c r="H20" s="11"/>
    </row>
    <row r="21" spans="2:8" x14ac:dyDescent="0.2">
      <c r="B21" s="8" t="s">
        <v>17</v>
      </c>
      <c r="C21" s="73">
        <v>50</v>
      </c>
      <c r="D21" s="9">
        <v>61</v>
      </c>
      <c r="E21" s="73">
        <f t="shared" si="0"/>
        <v>-11</v>
      </c>
      <c r="F21" s="9">
        <v>76</v>
      </c>
      <c r="G21" s="73">
        <f t="shared" si="1"/>
        <v>-26</v>
      </c>
      <c r="H21" s="11"/>
    </row>
    <row r="22" spans="2:8" x14ac:dyDescent="0.2">
      <c r="B22" s="8" t="s">
        <v>18</v>
      </c>
      <c r="C22" s="73">
        <v>67</v>
      </c>
      <c r="D22" s="9">
        <v>66</v>
      </c>
      <c r="E22" s="73">
        <f t="shared" si="0"/>
        <v>1</v>
      </c>
      <c r="F22" s="9">
        <v>89</v>
      </c>
      <c r="G22" s="73">
        <f t="shared" si="1"/>
        <v>-22</v>
      </c>
      <c r="H22" s="11"/>
    </row>
    <row r="23" spans="2:8" x14ac:dyDescent="0.2">
      <c r="B23" s="8" t="s">
        <v>19</v>
      </c>
      <c r="C23" s="73">
        <v>109</v>
      </c>
      <c r="D23" s="9">
        <v>90</v>
      </c>
      <c r="E23" s="73">
        <f t="shared" si="0"/>
        <v>19</v>
      </c>
      <c r="F23" s="9">
        <v>101</v>
      </c>
      <c r="G23" s="73">
        <f t="shared" si="1"/>
        <v>8</v>
      </c>
      <c r="H23" s="11"/>
    </row>
    <row r="24" spans="2:8" x14ac:dyDescent="0.2">
      <c r="B24" s="8" t="s">
        <v>20</v>
      </c>
      <c r="C24" s="73">
        <v>53</v>
      </c>
      <c r="D24" s="9">
        <v>48</v>
      </c>
      <c r="E24" s="73">
        <f t="shared" si="0"/>
        <v>5</v>
      </c>
      <c r="F24" s="9">
        <v>106</v>
      </c>
      <c r="G24" s="73">
        <f t="shared" si="1"/>
        <v>-53</v>
      </c>
      <c r="H24" s="11"/>
    </row>
    <row r="25" spans="2:8" x14ac:dyDescent="0.2">
      <c r="B25" s="8" t="s">
        <v>21</v>
      </c>
      <c r="C25" s="73">
        <v>52</v>
      </c>
      <c r="D25" s="9">
        <v>41</v>
      </c>
      <c r="E25" s="73">
        <f t="shared" si="0"/>
        <v>11</v>
      </c>
      <c r="F25" s="9">
        <v>55</v>
      </c>
      <c r="G25" s="73">
        <f t="shared" si="1"/>
        <v>-3</v>
      </c>
      <c r="H25" s="11"/>
    </row>
    <row r="26" spans="2:8" x14ac:dyDescent="0.2">
      <c r="B26" s="8" t="s">
        <v>22</v>
      </c>
      <c r="C26" s="73">
        <v>36</v>
      </c>
      <c r="D26" s="9">
        <v>44</v>
      </c>
      <c r="E26" s="73">
        <f t="shared" si="0"/>
        <v>-8</v>
      </c>
      <c r="F26" s="9">
        <v>30</v>
      </c>
      <c r="G26" s="73">
        <f t="shared" si="1"/>
        <v>6</v>
      </c>
      <c r="H26" s="11"/>
    </row>
    <row r="27" spans="2:8" x14ac:dyDescent="0.2">
      <c r="B27" s="8" t="s">
        <v>23</v>
      </c>
      <c r="C27" s="73">
        <v>298</v>
      </c>
      <c r="D27" s="9">
        <v>309</v>
      </c>
      <c r="E27" s="73">
        <f t="shared" si="0"/>
        <v>-11</v>
      </c>
      <c r="F27" s="9">
        <v>364</v>
      </c>
      <c r="G27" s="73">
        <f t="shared" si="1"/>
        <v>-66</v>
      </c>
      <c r="H27" s="11"/>
    </row>
    <row r="28" spans="2:8" x14ac:dyDescent="0.2">
      <c r="B28" s="8" t="s">
        <v>24</v>
      </c>
      <c r="C28" s="73">
        <v>50</v>
      </c>
      <c r="D28" s="9">
        <v>40</v>
      </c>
      <c r="E28" s="73">
        <f t="shared" si="0"/>
        <v>10</v>
      </c>
      <c r="F28" s="9">
        <v>62</v>
      </c>
      <c r="G28" s="73">
        <f t="shared" si="1"/>
        <v>-12</v>
      </c>
      <c r="H28" s="11"/>
    </row>
    <row r="29" spans="2:8" ht="15" x14ac:dyDescent="0.25">
      <c r="B29" s="15" t="s">
        <v>25</v>
      </c>
      <c r="C29" s="74">
        <f>SUM(C4:C28)</f>
        <v>2256</v>
      </c>
      <c r="D29" s="17">
        <f>SUM(D4:D28)</f>
        <v>2029</v>
      </c>
      <c r="E29" s="74">
        <f>SUM(E4:E28)</f>
        <v>227</v>
      </c>
      <c r="F29" s="17">
        <f>SUM(F4:F28)</f>
        <v>2599</v>
      </c>
      <c r="G29" s="74">
        <f>SUM(G4:G28)</f>
        <v>-343</v>
      </c>
      <c r="H29" s="11"/>
    </row>
    <row r="30" spans="2:8" ht="12" customHeight="1" x14ac:dyDescent="0.2">
      <c r="B30" s="4"/>
      <c r="C30" s="30"/>
      <c r="E30" s="11"/>
      <c r="G30" s="11"/>
    </row>
    <row r="31" spans="2:8" ht="9" customHeight="1" x14ac:dyDescent="0.2">
      <c r="B31" s="4"/>
    </row>
    <row r="32" spans="2:8" ht="12.75" customHeight="1" x14ac:dyDescent="0.2">
      <c r="B32" s="4"/>
    </row>
  </sheetData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704CE-3E48-45FF-A1F2-DBA69F4DCD6E}">
  <sheetPr>
    <tabColor rgb="FF60497A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101</v>
      </c>
      <c r="C1" s="79"/>
      <c r="D1" s="79"/>
      <c r="E1" s="79"/>
      <c r="F1" s="79"/>
      <c r="G1" s="79"/>
      <c r="H1" s="79"/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T('10_oferty s.'!B3)</f>
        <v>powiaty</v>
      </c>
      <c r="D3" s="5" t="str">
        <f>T('10_oferty s.'!C3)</f>
        <v>liczba ofert w II '23 r.</v>
      </c>
      <c r="E3" s="5" t="str">
        <f>T('10_oferty s.'!D3)</f>
        <v>liczba ofert w I '23 r.</v>
      </c>
      <c r="F3" s="5" t="str">
        <f>T('10_oferty s.'!E3)</f>
        <v>wzrost/spadek do poprzedniego  miesiąca</v>
      </c>
      <c r="G3" s="5" t="str">
        <f>T('10_oferty s.'!F3)</f>
        <v>liczba ofert w II '22 r.</v>
      </c>
      <c r="H3" s="5" t="str">
        <f>T('10_oferty s.'!G3)</f>
        <v>wzrost/spadek do analogicznego okresu ubr.</v>
      </c>
    </row>
    <row r="4" spans="2:8" x14ac:dyDescent="0.2">
      <c r="B4" s="10">
        <f>RANK('11_of st. k.'!C4,'11_of st. k.'!$C$4:'11_of st. k.'!$C$29,1)+COUNTIF('11_of st. k.'!$C$4:'11_of st. k.'!C4,'11_of st. k.'!C4)-1</f>
        <v>4</v>
      </c>
      <c r="C4" s="8" t="str">
        <f>INDEX('11_of st. k.'!B4:G29,MATCH(1,B4:B29,0),1)</f>
        <v>brzozowski</v>
      </c>
      <c r="D4" s="39">
        <f>INDEX('11_of st. k.'!B4:G29,MATCH(1,B4:B29,0),2)</f>
        <v>6</v>
      </c>
      <c r="E4" s="9">
        <f>INDEX('11_of st. k.'!B4:G29,MATCH(1,B4:B29,0),3)</f>
        <v>1</v>
      </c>
      <c r="F4" s="10">
        <f>INDEX('11_of st. k.'!B4:G29,MATCH(1,B4:B29,0),4)</f>
        <v>5</v>
      </c>
      <c r="G4" s="9">
        <f>INDEX('11_of st. k.'!B4:G29,MATCH(1,B4:B29,0),5)</f>
        <v>4</v>
      </c>
      <c r="H4" s="10">
        <f>INDEX('11_of st. k.'!B4:G29,MATCH(1,B4:B29,0),6)</f>
        <v>2</v>
      </c>
    </row>
    <row r="5" spans="2:8" x14ac:dyDescent="0.2">
      <c r="B5" s="10">
        <f>RANK('11_of st. k.'!C5,'11_of st. k.'!$C$4:'11_of st. k.'!$C$29,1)+COUNTIF('11_of st. k.'!$C$4:'11_of st. k.'!C5,'11_of st. k.'!C5)-1</f>
        <v>1</v>
      </c>
      <c r="C5" s="8" t="str">
        <f>INDEX('11_of st. k.'!B4:G29,MATCH(2,B4:B29,0),1)</f>
        <v>leski</v>
      </c>
      <c r="D5" s="10">
        <f>INDEX('11_of st. k.'!B4:G29,MATCH(2,B4:B29,0),2)</f>
        <v>9</v>
      </c>
      <c r="E5" s="9">
        <f>INDEX('11_of st. k.'!B4:G29,MATCH(2,B4:B29,0),3)</f>
        <v>7</v>
      </c>
      <c r="F5" s="10">
        <f>INDEX('11_of st. k.'!B4:G29,MATCH(2,B4:B29,0),4)</f>
        <v>2</v>
      </c>
      <c r="G5" s="9">
        <f>INDEX('11_of st. k.'!B4:G29,MATCH(2,B4:B29,0),5)</f>
        <v>18</v>
      </c>
      <c r="H5" s="10">
        <f>INDEX('11_of st. k.'!B4:G29,MATCH(2,B4:B29,0),6)</f>
        <v>-9</v>
      </c>
    </row>
    <row r="6" spans="2:8" x14ac:dyDescent="0.2">
      <c r="B6" s="10">
        <f>RANK('11_of st. k.'!C6,'11_of st. k.'!$C$4:'11_of st. k.'!$C$29,1)+COUNTIF('11_of st. k.'!$C$4:'11_of st. k.'!C6,'11_of st. k.'!C6)-1</f>
        <v>23</v>
      </c>
      <c r="C6" s="8" t="str">
        <f>INDEX('11_of st. k.'!B4:G29,MATCH(3,B4:B29,0),1)</f>
        <v>przemyski</v>
      </c>
      <c r="D6" s="10">
        <f>INDEX('11_of st. k.'!B4:G29,MATCH(3,B4:B29,0),2)</f>
        <v>20</v>
      </c>
      <c r="E6" s="9">
        <f>INDEX('11_of st. k.'!B4:G29,MATCH(3,B4:B29,0),3)</f>
        <v>19</v>
      </c>
      <c r="F6" s="10">
        <f>INDEX('11_of st. k.'!B4:G29,MATCH(3,B4:B29,0),4)</f>
        <v>1</v>
      </c>
      <c r="G6" s="9">
        <f>INDEX('11_of st. k.'!B4:G29,MATCH(3,B4:B29,0),5)</f>
        <v>8</v>
      </c>
      <c r="H6" s="10">
        <f>INDEX('11_of st. k.'!B4:G29,MATCH(3,B4:B29,0),6)</f>
        <v>12</v>
      </c>
    </row>
    <row r="7" spans="2:8" x14ac:dyDescent="0.2">
      <c r="B7" s="10">
        <f>RANK('11_of st. k.'!C7,'11_of st. k.'!$C$4:'11_of st. k.'!$C$29,1)+COUNTIF('11_of st. k.'!$C$4:'11_of st. k.'!C7,'11_of st. k.'!C7)-1</f>
        <v>21</v>
      </c>
      <c r="C7" s="8" t="str">
        <f>INDEX('11_of st. k.'!B4:G29,MATCH(4,B4:B29,0),1)</f>
        <v>bieszczadzki</v>
      </c>
      <c r="D7" s="10">
        <f>INDEX('11_of st. k.'!B4:G29,MATCH(4,B4:B29,0),2)</f>
        <v>35</v>
      </c>
      <c r="E7" s="9">
        <f>INDEX('11_of st. k.'!B4:G29,MATCH(4,B4:B29,0),3)</f>
        <v>25</v>
      </c>
      <c r="F7" s="10">
        <f>INDEX('11_of st. k.'!B4:G29,MATCH(4,B4:B29,0),4)</f>
        <v>10</v>
      </c>
      <c r="G7" s="9">
        <f>INDEX('11_of st. k.'!B4:G29,MATCH(4,B4:B29,0),5)</f>
        <v>31</v>
      </c>
      <c r="H7" s="10">
        <f>INDEX('11_of st. k.'!B4:G29,MATCH(4,B4:B29,0),6)</f>
        <v>4</v>
      </c>
    </row>
    <row r="8" spans="2:8" x14ac:dyDescent="0.2">
      <c r="B8" s="10">
        <f>RANK('11_of st. k.'!C8,'11_of st. k.'!$C$4:'11_of st. k.'!$C$29,1)+COUNTIF('11_of st. k.'!$C$4:'11_of st. k.'!C8,'11_of st. k.'!C8)-1</f>
        <v>22</v>
      </c>
      <c r="C8" s="8" t="str">
        <f>INDEX('11_of st. k.'!B4:G29,MATCH(5,B4:B29,0),1)</f>
        <v>Przemyśl</v>
      </c>
      <c r="D8" s="10">
        <f>INDEX('11_of st. k.'!B4:G29,MATCH(5,B4:B29,0),2)</f>
        <v>36</v>
      </c>
      <c r="E8" s="9">
        <f>INDEX('11_of st. k.'!B4:G29,MATCH(5,B4:B29,0),3)</f>
        <v>44</v>
      </c>
      <c r="F8" s="10">
        <f>INDEX('11_of st. k.'!B4:G29,MATCH(5,B4:B29,0),4)</f>
        <v>-8</v>
      </c>
      <c r="G8" s="9">
        <f>INDEX('11_of st. k.'!B4:G29,MATCH(5,B4:B29,0),5)</f>
        <v>30</v>
      </c>
      <c r="H8" s="10">
        <f>INDEX('11_of st. k.'!B4:G29,MATCH(5,B4:B29,0),6)</f>
        <v>6</v>
      </c>
    </row>
    <row r="9" spans="2:8" x14ac:dyDescent="0.2">
      <c r="B9" s="10">
        <f>RANK('11_of st. k.'!C9,'11_of st. k.'!$C$4:'11_of st. k.'!$C$29,1)+COUNTIF('11_of st. k.'!$C$4:'11_of st. k.'!C9,'11_of st. k.'!C9)-1</f>
        <v>15</v>
      </c>
      <c r="C9" s="8" t="str">
        <f>INDEX('11_of st. k.'!B4:G29,MATCH(6,B4:B29,0),1)</f>
        <v>sanocki</v>
      </c>
      <c r="D9" s="10">
        <f>INDEX('11_of st. k.'!B4:G29,MATCH(6,B4:B29,0),2)</f>
        <v>50</v>
      </c>
      <c r="E9" s="9">
        <f>INDEX('11_of st. k.'!B4:G29,MATCH(6,B4:B29,0),3)</f>
        <v>61</v>
      </c>
      <c r="F9" s="10">
        <f>INDEX('11_of st. k.'!B4:G29,MATCH(6,B4:B29,0),4)</f>
        <v>-11</v>
      </c>
      <c r="G9" s="9">
        <f>INDEX('11_of st. k.'!B4:G29,MATCH(6,B4:B29,0),5)</f>
        <v>76</v>
      </c>
      <c r="H9" s="10">
        <f>INDEX('11_of st. k.'!B4:G29,MATCH(6,B4:B29,0),6)</f>
        <v>-26</v>
      </c>
    </row>
    <row r="10" spans="2:8" x14ac:dyDescent="0.2">
      <c r="B10" s="10">
        <f>RANK('11_of st. k.'!C10,'11_of st. k.'!$C$4:'11_of st. k.'!$C$29,1)+COUNTIF('11_of st. k.'!$C$4:'11_of st. k.'!C10,'11_of st. k.'!C10)-1</f>
        <v>18</v>
      </c>
      <c r="C10" s="13" t="str">
        <f>INDEX('11_of st. k.'!B4:G29,MATCH(7,B4:B29,0),1)</f>
        <v>Tarnobrzeg</v>
      </c>
      <c r="D10" s="10">
        <f>INDEX('11_of st. k.'!B4:G29,MATCH(7,B4:B29,0),2)</f>
        <v>50</v>
      </c>
      <c r="E10" s="9">
        <f>INDEX('11_of st. k.'!B4:G29,MATCH(7,B4:B29,0),3)</f>
        <v>40</v>
      </c>
      <c r="F10" s="10">
        <f>INDEX('11_of st. k.'!B4:G29,MATCH(7,B4:B29,0),4)</f>
        <v>10</v>
      </c>
      <c r="G10" s="9">
        <f>INDEX('11_of st. k.'!B4:G29,MATCH(7,B4:B29,0),5)</f>
        <v>62</v>
      </c>
      <c r="H10" s="10">
        <f>INDEX('11_of st. k.'!B4:G29,MATCH(7,B4:B29,0),6)</f>
        <v>-12</v>
      </c>
    </row>
    <row r="11" spans="2:8" x14ac:dyDescent="0.2">
      <c r="B11" s="10">
        <f>RANK('11_of st. k.'!C11,'11_of st. k.'!$C$4:'11_of st. k.'!$C$29,1)+COUNTIF('11_of st. k.'!$C$4:'11_of st. k.'!C11,'11_of st. k.'!C11)-1</f>
        <v>2</v>
      </c>
      <c r="C11" s="8" t="str">
        <f>INDEX('11_of st. k.'!B4:G29,MATCH(8,B4:B29,0),1)</f>
        <v>Krosno</v>
      </c>
      <c r="D11" s="10">
        <f>INDEX('11_of st. k.'!B4:G29,MATCH(8,B4:B29,0),2)</f>
        <v>52</v>
      </c>
      <c r="E11" s="9">
        <f>INDEX('11_of st. k.'!B4:G29,MATCH(8,B4:B29,0),3)</f>
        <v>41</v>
      </c>
      <c r="F11" s="10">
        <f>INDEX('11_of st. k.'!B4:G29,MATCH(8,B4:B29,0),4)</f>
        <v>11</v>
      </c>
      <c r="G11" s="9">
        <f>INDEX('11_of st. k.'!B4:G29,MATCH(8,B4:B29,0),5)</f>
        <v>55</v>
      </c>
      <c r="H11" s="10">
        <f>INDEX('11_of st. k.'!B4:G29,MATCH(8,B4:B29,0),6)</f>
        <v>-3</v>
      </c>
    </row>
    <row r="12" spans="2:8" x14ac:dyDescent="0.2">
      <c r="B12" s="10">
        <f>RANK('11_of st. k.'!C12,'11_of st. k.'!$C$4:'11_of st. k.'!$C$29,1)+COUNTIF('11_of st. k.'!$C$4:'11_of st. k.'!C12,'11_of st. k.'!C12)-1</f>
        <v>14</v>
      </c>
      <c r="C12" s="8" t="str">
        <f>INDEX('11_of st. k.'!B4:G29,MATCH(9,B4:B29,0),1)</f>
        <v xml:space="preserve">tarnobrzeski </v>
      </c>
      <c r="D12" s="10">
        <f>INDEX('11_of st. k.'!B4:G29,MATCH(9,B4:B29,0),2)</f>
        <v>53</v>
      </c>
      <c r="E12" s="9">
        <f>INDEX('11_of st. k.'!B4:G29,MATCH(9,B4:B29,0),3)</f>
        <v>48</v>
      </c>
      <c r="F12" s="10">
        <f>INDEX('11_of st. k.'!B4:G29,MATCH(9,B4:B29,0),4)</f>
        <v>5</v>
      </c>
      <c r="G12" s="9">
        <f>INDEX('11_of st. k.'!B4:G29,MATCH(9,B4:B29,0),5)</f>
        <v>106</v>
      </c>
      <c r="H12" s="10">
        <f>INDEX('11_of st. k.'!B4:G29,MATCH(9,B4:B29,0),6)</f>
        <v>-53</v>
      </c>
    </row>
    <row r="13" spans="2:8" x14ac:dyDescent="0.2">
      <c r="B13" s="10">
        <f>RANK('11_of st. k.'!C13,'11_of st. k.'!$C$4:'11_of st. k.'!$C$29,1)+COUNTIF('11_of st. k.'!$C$4:'11_of st. k.'!C13,'11_of st. k.'!C13)-1</f>
        <v>11</v>
      </c>
      <c r="C13" s="8" t="str">
        <f>INDEX('11_of st. k.'!B4:G29,MATCH(10,B4:B29,0),1)</f>
        <v>ropczycko-sędziszowski</v>
      </c>
      <c r="D13" s="10">
        <f>INDEX('11_of st. k.'!B4:G29,MATCH(10,B4:B29,0),2)</f>
        <v>56</v>
      </c>
      <c r="E13" s="9">
        <f>INDEX('11_of st. k.'!B4:G29,MATCH(10,B4:B29,0),3)</f>
        <v>138</v>
      </c>
      <c r="F13" s="10">
        <f>INDEX('11_of st. k.'!B4:G29,MATCH(10,B4:B29,0),4)</f>
        <v>-82</v>
      </c>
      <c r="G13" s="9">
        <f>INDEX('11_of st. k.'!B4:G29,MATCH(10,B4:B29,0),5)</f>
        <v>84</v>
      </c>
      <c r="H13" s="10">
        <f>INDEX('11_of st. k.'!B4:G29,MATCH(10,B4:B29,0),6)</f>
        <v>-28</v>
      </c>
    </row>
    <row r="14" spans="2:8" x14ac:dyDescent="0.2">
      <c r="B14" s="10">
        <f>RANK('11_of st. k.'!C14,'11_of st. k.'!$C$4:'11_of st. k.'!$C$29,1)+COUNTIF('11_of st. k.'!$C$4:'11_of st. k.'!C14,'11_of st. k.'!C14)-1</f>
        <v>17</v>
      </c>
      <c r="C14" s="8" t="str">
        <f>INDEX('11_of st. k.'!B4:G29,MATCH(11,B4:B29,0),1)</f>
        <v>lubaczowski</v>
      </c>
      <c r="D14" s="10">
        <f>INDEX('11_of st. k.'!B4:G29,MATCH(11,B4:B29,0),2)</f>
        <v>59</v>
      </c>
      <c r="E14" s="9">
        <f>INDEX('11_of st. k.'!B4:G29,MATCH(11,B4:B29,0),3)</f>
        <v>26</v>
      </c>
      <c r="F14" s="10">
        <f>INDEX('11_of st. k.'!B4:G29,MATCH(11,B4:B29,0),4)</f>
        <v>33</v>
      </c>
      <c r="G14" s="9">
        <f>INDEX('11_of st. k.'!B4:G29,MATCH(11,B4:B29,0),5)</f>
        <v>72</v>
      </c>
      <c r="H14" s="10">
        <f>INDEX('11_of st. k.'!B4:G29,MATCH(11,B4:B29,0),6)</f>
        <v>-13</v>
      </c>
    </row>
    <row r="15" spans="2:8" x14ac:dyDescent="0.2">
      <c r="B15" s="10">
        <f>RANK('11_of st. k.'!C15,'11_of st. k.'!$C$4:'11_of st. k.'!$C$29,1)+COUNTIF('11_of st. k.'!$C$4:'11_of st. k.'!C15,'11_of st. k.'!C15)-1</f>
        <v>24</v>
      </c>
      <c r="C15" s="8" t="str">
        <f>INDEX('11_of st. k.'!B4:G29,MATCH(12,B4:B29,0),1)</f>
        <v>stalowowolski</v>
      </c>
      <c r="D15" s="10">
        <f>INDEX('11_of st. k.'!B4:G29,MATCH(12,B4:B29,0),2)</f>
        <v>67</v>
      </c>
      <c r="E15" s="9">
        <f>INDEX('11_of st. k.'!B4:G29,MATCH(12,B4:B29,0),3)</f>
        <v>66</v>
      </c>
      <c r="F15" s="10">
        <f>INDEX('11_of st. k.'!B4:G29,MATCH(12,B4:B29,0),4)</f>
        <v>1</v>
      </c>
      <c r="G15" s="9">
        <f>INDEX('11_of st. k.'!B4:G29,MATCH(12,B4:B29,0),5)</f>
        <v>89</v>
      </c>
      <c r="H15" s="10">
        <f>INDEX('11_of st. k.'!B4:G29,MATCH(12,B4:B29,0),6)</f>
        <v>-22</v>
      </c>
    </row>
    <row r="16" spans="2:8" x14ac:dyDescent="0.2">
      <c r="B16" s="10">
        <f>RANK('11_of st. k.'!C16,'11_of st. k.'!$C$4:'11_of st. k.'!$C$29,1)+COUNTIF('11_of st. k.'!$C$4:'11_of st. k.'!C16,'11_of st. k.'!C16)-1</f>
        <v>13</v>
      </c>
      <c r="C16" s="8" t="str">
        <f>INDEX('11_of st. k.'!B4:G29,MATCH(13,B4:B29,0),1)</f>
        <v>niżański</v>
      </c>
      <c r="D16" s="10">
        <f>INDEX('11_of st. k.'!B4:G29,MATCH(13,B4:B29,0),2)</f>
        <v>72</v>
      </c>
      <c r="E16" s="9">
        <f>INDEX('11_of st. k.'!B4:G29,MATCH(13,B4:B29,0),3)</f>
        <v>38</v>
      </c>
      <c r="F16" s="10">
        <f>INDEX('11_of st. k.'!B4:G29,MATCH(13,B4:B29,0),4)</f>
        <v>34</v>
      </c>
      <c r="G16" s="9">
        <f>INDEX('11_of st. k.'!B4:G29,MATCH(13,B4:B29,0),5)</f>
        <v>57</v>
      </c>
      <c r="H16" s="10">
        <f>INDEX('11_of st. k.'!B4:G29,MATCH(13,B4:B29,0),6)</f>
        <v>15</v>
      </c>
    </row>
    <row r="17" spans="2:8" x14ac:dyDescent="0.2">
      <c r="B17" s="10">
        <f>RANK('11_of st. k.'!C17,'11_of st. k.'!$C$4:'11_of st. k.'!$C$29,1)+COUNTIF('11_of st. k.'!$C$4:'11_of st. k.'!C17,'11_of st. k.'!C17)-1</f>
        <v>3</v>
      </c>
      <c r="C17" s="8" t="str">
        <f>INDEX('11_of st. k.'!B4:G29,MATCH(14,B4:B29,0),1)</f>
        <v>leżajski</v>
      </c>
      <c r="D17" s="10">
        <f>INDEX('11_of st. k.'!B4:G29,MATCH(14,B4:B29,0),2)</f>
        <v>73</v>
      </c>
      <c r="E17" s="9">
        <f>INDEX('11_of st. k.'!B4:G29,MATCH(14,B4:B29,0),3)</f>
        <v>80</v>
      </c>
      <c r="F17" s="10">
        <f>INDEX('11_of st. k.'!B4:G29,MATCH(14,B4:B29,0),4)</f>
        <v>-7</v>
      </c>
      <c r="G17" s="9">
        <f>INDEX('11_of st. k.'!B4:G29,MATCH(14,B4:B29,0),5)</f>
        <v>125</v>
      </c>
      <c r="H17" s="10">
        <f>INDEX('11_of st. k.'!B4:G29,MATCH(14,B4:B29,0),6)</f>
        <v>-52</v>
      </c>
    </row>
    <row r="18" spans="2:8" x14ac:dyDescent="0.2">
      <c r="B18" s="10">
        <f>RANK('11_of st. k.'!C18,'11_of st. k.'!$C$4:'11_of st. k.'!$C$29,1)+COUNTIF('11_of st. k.'!$C$4:'11_of st. k.'!C18,'11_of st. k.'!C18)-1</f>
        <v>20</v>
      </c>
      <c r="C18" s="8" t="str">
        <f>INDEX('11_of st. k.'!B4:G29,MATCH(15,B4:B29,0),1)</f>
        <v>kolbuszowski</v>
      </c>
      <c r="D18" s="10">
        <f>INDEX('11_of st. k.'!B4:G29,MATCH(15,B4:B29,0),2)</f>
        <v>79</v>
      </c>
      <c r="E18" s="9">
        <f>INDEX('11_of st. k.'!B4:G29,MATCH(15,B4:B29,0),3)</f>
        <v>92</v>
      </c>
      <c r="F18" s="10">
        <f>INDEX('11_of st. k.'!B4:G29,MATCH(15,B4:B29,0),4)</f>
        <v>-13</v>
      </c>
      <c r="G18" s="9">
        <f>INDEX('11_of st. k.'!B4:G29,MATCH(15,B4:B29,0),5)</f>
        <v>85</v>
      </c>
      <c r="H18" s="10">
        <f>INDEX('11_of st. k.'!B4:G29,MATCH(15,B4:B29,0),6)</f>
        <v>-6</v>
      </c>
    </row>
    <row r="19" spans="2:8" x14ac:dyDescent="0.2">
      <c r="B19" s="10">
        <f>RANK('11_of st. k.'!C19,'11_of st. k.'!$C$4:'11_of st. k.'!$C$29,1)+COUNTIF('11_of st. k.'!$C$4:'11_of st. k.'!C19,'11_of st. k.'!C19)-1</f>
        <v>10</v>
      </c>
      <c r="C19" s="8" t="str">
        <f>INDEX('11_of st. k.'!B4:G29,MATCH(16,B4:B29,0),1)</f>
        <v>rzeszowski</v>
      </c>
      <c r="D19" s="10">
        <f>INDEX('11_of st. k.'!B4:G29,MATCH(16,B4:B29,0),2)</f>
        <v>87</v>
      </c>
      <c r="E19" s="9">
        <f>INDEX('11_of st. k.'!B4:G29,MATCH(16,B4:B29,0),3)</f>
        <v>65</v>
      </c>
      <c r="F19" s="10">
        <f>INDEX('11_of st. k.'!B4:G29,MATCH(16,B4:B29,0),4)</f>
        <v>22</v>
      </c>
      <c r="G19" s="9">
        <f>INDEX('11_of st. k.'!B4:G29,MATCH(16,B4:B29,0),5)</f>
        <v>78</v>
      </c>
      <c r="H19" s="10">
        <f>INDEX('11_of st. k.'!B4:G29,MATCH(16,B4:B29,0),6)</f>
        <v>9</v>
      </c>
    </row>
    <row r="20" spans="2:8" x14ac:dyDescent="0.2">
      <c r="B20" s="10">
        <f>RANK('11_of st. k.'!C20,'11_of st. k.'!$C$4:'11_of st. k.'!$C$29,1)+COUNTIF('11_of st. k.'!$C$4:'11_of st. k.'!C20,'11_of st. k.'!C20)-1</f>
        <v>16</v>
      </c>
      <c r="C20" s="8" t="str">
        <f>INDEX('11_of st. k.'!B4:G29,MATCH(17,B4:B29,0),1)</f>
        <v>łańcucki</v>
      </c>
      <c r="D20" s="10">
        <f>INDEX('11_of st. k.'!B4:G29,MATCH(17,B4:B29,0),2)</f>
        <v>101</v>
      </c>
      <c r="E20" s="9">
        <f>INDEX('11_of st. k.'!B4:G29,MATCH(17,B4:B29,0),3)</f>
        <v>82</v>
      </c>
      <c r="F20" s="10">
        <f>INDEX('11_of st. k.'!B4:G29,MATCH(17,B4:B29,0),4)</f>
        <v>19</v>
      </c>
      <c r="G20" s="9">
        <f>INDEX('11_of st. k.'!B4:G29,MATCH(17,B4:B29,0),5)</f>
        <v>105</v>
      </c>
      <c r="H20" s="10">
        <f>INDEX('11_of st. k.'!B4:G29,MATCH(17,B4:B29,0),6)</f>
        <v>-4</v>
      </c>
    </row>
    <row r="21" spans="2:8" x14ac:dyDescent="0.2">
      <c r="B21" s="10">
        <f>RANK('11_of st. k.'!C21,'11_of st. k.'!$C$4:'11_of st. k.'!$C$29,1)+COUNTIF('11_of st. k.'!$C$4:'11_of st. k.'!C21,'11_of st. k.'!C21)-1</f>
        <v>6</v>
      </c>
      <c r="C21" s="8" t="str">
        <f>INDEX('11_of st. k.'!B4:G29,MATCH(18,B4:B29,0),1)</f>
        <v>krośnieński</v>
      </c>
      <c r="D21" s="10">
        <f>INDEX('11_of st. k.'!B4:G29,MATCH(18,B4:B29,0),2)</f>
        <v>107</v>
      </c>
      <c r="E21" s="9">
        <f>INDEX('11_of st. k.'!B4:G29,MATCH(18,B4:B29,0),3)</f>
        <v>45</v>
      </c>
      <c r="F21" s="10">
        <f>INDEX('11_of st. k.'!B4:G29,MATCH(18,B4:B29,0),4)</f>
        <v>62</v>
      </c>
      <c r="G21" s="9">
        <f>INDEX('11_of st. k.'!B4:G29,MATCH(18,B4:B29,0),5)</f>
        <v>111</v>
      </c>
      <c r="H21" s="10">
        <f>INDEX('11_of st. k.'!B4:G29,MATCH(18,B4:B29,0),6)</f>
        <v>-4</v>
      </c>
    </row>
    <row r="22" spans="2:8" x14ac:dyDescent="0.2">
      <c r="B22" s="10">
        <f>RANK('11_of st. k.'!C22,'11_of st. k.'!$C$4:'11_of st. k.'!$C$29,1)+COUNTIF('11_of st. k.'!$C$4:'11_of st. k.'!C22,'11_of st. k.'!C22)-1</f>
        <v>12</v>
      </c>
      <c r="C22" s="8" t="str">
        <f>INDEX('11_of st. k.'!B4:G29,MATCH(19,B4:B29,0),1)</f>
        <v>strzyżowski</v>
      </c>
      <c r="D22" s="10">
        <f>INDEX('11_of st. k.'!B4:G29,MATCH(19,B4:B29,0),2)</f>
        <v>109</v>
      </c>
      <c r="E22" s="9">
        <f>INDEX('11_of st. k.'!B4:G29,MATCH(19,B4:B29,0),3)</f>
        <v>90</v>
      </c>
      <c r="F22" s="10">
        <f>INDEX('11_of st. k.'!B4:G29,MATCH(19,B4:B29,0),4)</f>
        <v>19</v>
      </c>
      <c r="G22" s="9">
        <f>INDEX('11_of st. k.'!B4:G29,MATCH(19,B4:B29,0),5)</f>
        <v>101</v>
      </c>
      <c r="H22" s="10">
        <f>INDEX('11_of st. k.'!B4:G29,MATCH(19,B4:B29,0),6)</f>
        <v>8</v>
      </c>
    </row>
    <row r="23" spans="2:8" x14ac:dyDescent="0.2">
      <c r="B23" s="10">
        <f>RANK('11_of st. k.'!C23,'11_of st. k.'!$C$4:'11_of st. k.'!$C$29,1)+COUNTIF('11_of st. k.'!$C$4:'11_of st. k.'!C23,'11_of st. k.'!C23)-1</f>
        <v>19</v>
      </c>
      <c r="C23" s="8" t="str">
        <f>INDEX('11_of st. k.'!B4:G29,MATCH(20,B4:B29,0),1)</f>
        <v>przeworski</v>
      </c>
      <c r="D23" s="10">
        <f>INDEX('11_of st. k.'!B4:G29,MATCH(20,B4:B29,0),2)</f>
        <v>127</v>
      </c>
      <c r="E23" s="9">
        <f>INDEX('11_of st. k.'!B4:G29,MATCH(20,B4:B29,0),3)</f>
        <v>119</v>
      </c>
      <c r="F23" s="10">
        <f>INDEX('11_of st. k.'!B4:G29,MATCH(20,B4:B29,0),4)</f>
        <v>8</v>
      </c>
      <c r="G23" s="9">
        <f>INDEX('11_of st. k.'!B4:G29,MATCH(20,B4:B29,0),5)</f>
        <v>116</v>
      </c>
      <c r="H23" s="10">
        <f>INDEX('11_of st. k.'!B4:G29,MATCH(20,B4:B29,0),6)</f>
        <v>11</v>
      </c>
    </row>
    <row r="24" spans="2:8" x14ac:dyDescent="0.2">
      <c r="B24" s="10">
        <f>RANK('11_of st. k.'!C24,'11_of st. k.'!$C$4:'11_of st. k.'!$C$29,1)+COUNTIF('11_of st. k.'!$C$4:'11_of st. k.'!C24,'11_of st. k.'!C24)-1</f>
        <v>9</v>
      </c>
      <c r="C24" s="8" t="str">
        <f>INDEX('11_of st. k.'!B4:G29,MATCH(21,B4:B29,0),1)</f>
        <v>jarosławski</v>
      </c>
      <c r="D24" s="10">
        <f>INDEX('11_of st. k.'!B4:G29,MATCH(21,B4:B29,0),2)</f>
        <v>132</v>
      </c>
      <c r="E24" s="9">
        <f>INDEX('11_of st. k.'!B4:G29,MATCH(21,B4:B29,0),3)</f>
        <v>76</v>
      </c>
      <c r="F24" s="10">
        <f>INDEX('11_of st. k.'!B4:G29,MATCH(21,B4:B29,0),4)</f>
        <v>56</v>
      </c>
      <c r="G24" s="9">
        <f>INDEX('11_of st. k.'!B4:G29,MATCH(21,B4:B29,0),5)</f>
        <v>127</v>
      </c>
      <c r="H24" s="10">
        <f>INDEX('11_of st. k.'!B4:G29,MATCH(21,B4:B29,0),6)</f>
        <v>5</v>
      </c>
    </row>
    <row r="25" spans="2:8" x14ac:dyDescent="0.2">
      <c r="B25" s="10">
        <f>RANK('11_of st. k.'!C25,'11_of st. k.'!$C$4:'11_of st. k.'!$C$29,1)+COUNTIF('11_of st. k.'!$C$4:'11_of st. k.'!C25,'11_of st. k.'!C25)-1</f>
        <v>8</v>
      </c>
      <c r="C25" s="8" t="str">
        <f>INDEX('11_of st. k.'!B4:G29,MATCH(22,B4:B29,0),1)</f>
        <v>jasielski</v>
      </c>
      <c r="D25" s="10">
        <f>INDEX('11_of st. k.'!B4:G29,MATCH(22,B4:B29,0),2)</f>
        <v>159</v>
      </c>
      <c r="E25" s="9">
        <f>INDEX('11_of st. k.'!B4:G29,MATCH(22,B4:B29,0),3)</f>
        <v>220</v>
      </c>
      <c r="F25" s="10">
        <f>INDEX('11_of st. k.'!B4:G29,MATCH(22,B4:B29,0),4)</f>
        <v>-61</v>
      </c>
      <c r="G25" s="9">
        <f>INDEX('11_of st. k.'!B4:G29,MATCH(22,B4:B29,0),5)</f>
        <v>118</v>
      </c>
      <c r="H25" s="10">
        <f>INDEX('11_of st. k.'!B4:G29,MATCH(22,B4:B29,0),6)</f>
        <v>41</v>
      </c>
    </row>
    <row r="26" spans="2:8" x14ac:dyDescent="0.2">
      <c r="B26" s="10">
        <f>RANK('11_of st. k.'!C26,'11_of st. k.'!$C$4:'11_of st. k.'!$C$29,1)+COUNTIF('11_of st. k.'!$C$4:'11_of st. k.'!C26,'11_of st. k.'!C26)-1</f>
        <v>5</v>
      </c>
      <c r="C26" s="8" t="str">
        <f>INDEX('11_of st. k.'!B4:G29,MATCH(23,B4:B29,0),1)</f>
        <v>dębicki</v>
      </c>
      <c r="D26" s="10">
        <f>INDEX('11_of st. k.'!B4:G29,MATCH(23,B4:B29,0),2)</f>
        <v>191</v>
      </c>
      <c r="E26" s="9">
        <f>INDEX('11_of st. k.'!B4:G29,MATCH(23,B4:B29,0),3)</f>
        <v>162</v>
      </c>
      <c r="F26" s="10">
        <f>INDEX('11_of st. k.'!B4:G29,MATCH(23,B4:B29,0),4)</f>
        <v>29</v>
      </c>
      <c r="G26" s="9">
        <f>INDEX('11_of st. k.'!B4:G29,MATCH(23,B4:B29,0),5)</f>
        <v>350</v>
      </c>
      <c r="H26" s="10">
        <f>INDEX('11_of st. k.'!B4:G29,MATCH(23,B4:B29,0),6)</f>
        <v>-159</v>
      </c>
    </row>
    <row r="27" spans="2:8" x14ac:dyDescent="0.2">
      <c r="B27" s="10">
        <f>RANK('11_of st. k.'!C27,'11_of st. k.'!$C$4:'11_of st. k.'!$C$29,1)+COUNTIF('11_of st. k.'!$C$4:'11_of st. k.'!C27,'11_of st. k.'!C27)-1</f>
        <v>25</v>
      </c>
      <c r="C27" s="8" t="str">
        <f>INDEX('11_of st. k.'!B4:G29,MATCH(24,B4:B29,0),1)</f>
        <v>mielecki</v>
      </c>
      <c r="D27" s="10">
        <f>INDEX('11_of st. k.'!B4:G29,MATCH(24,B4:B29,0),2)</f>
        <v>228</v>
      </c>
      <c r="E27" s="9">
        <f>INDEX('11_of st. k.'!B4:G29,MATCH(24,B4:B29,0),3)</f>
        <v>135</v>
      </c>
      <c r="F27" s="10">
        <f>INDEX('11_of st. k.'!B4:G29,MATCH(24,B4:B29,0),4)</f>
        <v>93</v>
      </c>
      <c r="G27" s="9">
        <f>INDEX('11_of st. k.'!B4:G29,MATCH(24,B4:B29,0),5)</f>
        <v>227</v>
      </c>
      <c r="H27" s="10">
        <f>INDEX('11_of st. k.'!B4:G29,MATCH(24,B4:B29,0),6)</f>
        <v>1</v>
      </c>
    </row>
    <row r="28" spans="2:8" x14ac:dyDescent="0.2">
      <c r="B28" s="10">
        <f>RANK('11_of st. k.'!C28,'11_of st. k.'!$C$4:'11_of st. k.'!$C$29,1)+COUNTIF('11_of st. k.'!$C$4:'11_of st. k.'!C28,'11_of st. k.'!C28)-1</f>
        <v>7</v>
      </c>
      <c r="C28" s="8" t="str">
        <f>INDEX('11_of st. k.'!B4:G29,MATCH(25,B4:B29,0),1)</f>
        <v>Rzeszów</v>
      </c>
      <c r="D28" s="10">
        <f>INDEX('11_of st. k.'!B4:G29,MATCH(25,B4:B29,0),2)</f>
        <v>298</v>
      </c>
      <c r="E28" s="9">
        <f>INDEX('11_of st. k.'!B4:G29,MATCH(25,B4:B29,0),3)</f>
        <v>309</v>
      </c>
      <c r="F28" s="10">
        <f>INDEX('11_of st. k.'!B4:G29,MATCH(25,B4:B29,0),4)</f>
        <v>-11</v>
      </c>
      <c r="G28" s="9">
        <f>INDEX('11_of st. k.'!B4:G29,MATCH(25,B4:B29,0),5)</f>
        <v>364</v>
      </c>
      <c r="H28" s="10">
        <f>INDEX('11_of st. k.'!B4:G29,MATCH(25,B4:B29,0),6)</f>
        <v>-66</v>
      </c>
    </row>
    <row r="29" spans="2:8" ht="15" x14ac:dyDescent="0.25">
      <c r="B29" s="34">
        <f>RANK('11_of st. k.'!C29,'11_of st. k.'!$C$4:'11_of st. k.'!$C$29,1)+COUNTIF('11_of st. k.'!$C$4:'11_of st. k.'!C29,'11_of st. k.'!C29)-1</f>
        <v>26</v>
      </c>
      <c r="C29" s="35" t="str">
        <f>INDEX('11_of st. k.'!B4:G29,MATCH(26,B4:B29,0),1)</f>
        <v>województwo</v>
      </c>
      <c r="D29" s="34">
        <f>INDEX('11_of st. k.'!B4:G29,MATCH(26,B4:B29,0),2)</f>
        <v>2256</v>
      </c>
      <c r="E29" s="17">
        <f>INDEX('11_of st. k.'!B4:G29,MATCH(26,B4:B29,0),3)</f>
        <v>2029</v>
      </c>
      <c r="F29" s="34">
        <f>INDEX('11_of st. k.'!B4:G29,MATCH(26,B4:B29,0),4)</f>
        <v>227</v>
      </c>
      <c r="G29" s="17">
        <f>INDEX('11_of st. k.'!B4:G29,MATCH(26,B4:B29,0),5)</f>
        <v>2599</v>
      </c>
      <c r="H29" s="34">
        <f>INDEX('11_of st. k.'!B4:G29,MATCH(26,B4:B29,0),6)</f>
        <v>-343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B1:L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140625" style="3" customWidth="1"/>
    <col min="3" max="3" width="15.140625" style="3" customWidth="1"/>
    <col min="4" max="4" width="14.5703125" style="3" customWidth="1"/>
    <col min="5" max="5" width="17.42578125" style="3" customWidth="1"/>
    <col min="6" max="6" width="14.7109375" style="3" customWidth="1"/>
    <col min="7" max="7" width="17" style="3" customWidth="1"/>
    <col min="8" max="8" width="3.85546875" style="3" customWidth="1"/>
    <col min="9" max="9" width="24.85546875" style="3" customWidth="1"/>
    <col min="10" max="10" width="15.140625" style="3" customWidth="1"/>
    <col min="11" max="11" width="10.85546875" style="3" customWidth="1"/>
    <col min="12" max="12" width="10.42578125" style="3" customWidth="1"/>
    <col min="13" max="13" width="5.5703125" style="3" customWidth="1"/>
    <col min="14" max="16384" width="9.140625" style="3"/>
  </cols>
  <sheetData>
    <row r="1" spans="2:12" x14ac:dyDescent="0.2">
      <c r="B1" s="2" t="s">
        <v>80</v>
      </c>
      <c r="I1" s="3" t="s">
        <v>85</v>
      </c>
    </row>
    <row r="2" spans="2:12" ht="75" customHeight="1" x14ac:dyDescent="0.2">
      <c r="B2" s="5" t="s">
        <v>27</v>
      </c>
      <c r="C2" s="6" t="s">
        <v>113</v>
      </c>
      <c r="D2" s="7" t="s">
        <v>103</v>
      </c>
      <c r="E2" s="6" t="s">
        <v>28</v>
      </c>
      <c r="F2" s="7" t="s">
        <v>114</v>
      </c>
      <c r="G2" s="6" t="s">
        <v>26</v>
      </c>
      <c r="I2" s="5" t="s">
        <v>27</v>
      </c>
      <c r="J2" s="6" t="str">
        <f>T('1_bezr.'!C2)</f>
        <v>liczba bezrobotnych ogółem stan na 28 II '23 r.</v>
      </c>
      <c r="K2" s="6" t="s">
        <v>78</v>
      </c>
      <c r="L2" s="6" t="s">
        <v>94</v>
      </c>
    </row>
    <row r="3" spans="2:12" x14ac:dyDescent="0.2">
      <c r="B3" s="8" t="s">
        <v>0</v>
      </c>
      <c r="C3" s="10">
        <v>600</v>
      </c>
      <c r="D3" s="9">
        <v>611</v>
      </c>
      <c r="E3" s="10">
        <f t="shared" ref="E3:E26" si="0">SUM(C3)-D3</f>
        <v>-11</v>
      </c>
      <c r="F3" s="9">
        <v>645</v>
      </c>
      <c r="G3" s="10">
        <f t="shared" ref="G3:G26" si="1">SUM(C3)-F3</f>
        <v>-45</v>
      </c>
      <c r="I3" s="8" t="s">
        <v>0</v>
      </c>
      <c r="J3" s="10">
        <f>SUM('1_bezr.'!C3)</f>
        <v>1168</v>
      </c>
      <c r="K3" s="10">
        <f>SUM(C3)</f>
        <v>600</v>
      </c>
      <c r="L3" s="36">
        <f t="shared" ref="L3:L28" si="2">SUM(K3)/J3*100</f>
        <v>51.369863013698634</v>
      </c>
    </row>
    <row r="4" spans="2:12" x14ac:dyDescent="0.2">
      <c r="B4" s="8" t="s">
        <v>1</v>
      </c>
      <c r="C4" s="10">
        <v>2090</v>
      </c>
      <c r="D4" s="9">
        <v>2083</v>
      </c>
      <c r="E4" s="10">
        <f t="shared" si="0"/>
        <v>7</v>
      </c>
      <c r="F4" s="9">
        <v>2234</v>
      </c>
      <c r="G4" s="10">
        <f t="shared" si="1"/>
        <v>-144</v>
      </c>
      <c r="I4" s="8" t="s">
        <v>1</v>
      </c>
      <c r="J4" s="10">
        <f>SUM('1_bezr.'!C4)</f>
        <v>4127</v>
      </c>
      <c r="K4" s="10">
        <f t="shared" ref="K4:K27" si="3">SUM(C4)</f>
        <v>2090</v>
      </c>
      <c r="L4" s="36">
        <f t="shared" si="2"/>
        <v>50.642112914950332</v>
      </c>
    </row>
    <row r="5" spans="2:12" x14ac:dyDescent="0.2">
      <c r="B5" s="8" t="s">
        <v>2</v>
      </c>
      <c r="C5" s="10">
        <v>1568</v>
      </c>
      <c r="D5" s="9">
        <v>1537</v>
      </c>
      <c r="E5" s="10">
        <f t="shared" si="0"/>
        <v>31</v>
      </c>
      <c r="F5" s="9">
        <v>1734</v>
      </c>
      <c r="G5" s="10">
        <f t="shared" si="1"/>
        <v>-166</v>
      </c>
      <c r="I5" s="8" t="s">
        <v>2</v>
      </c>
      <c r="J5" s="10">
        <f>SUM('1_bezr.'!C5)</f>
        <v>2632</v>
      </c>
      <c r="K5" s="10">
        <f t="shared" si="3"/>
        <v>1568</v>
      </c>
      <c r="L5" s="36">
        <f t="shared" si="2"/>
        <v>59.574468085106382</v>
      </c>
    </row>
    <row r="6" spans="2:12" x14ac:dyDescent="0.2">
      <c r="B6" s="8" t="s">
        <v>3</v>
      </c>
      <c r="C6" s="10">
        <v>2548</v>
      </c>
      <c r="D6" s="9">
        <v>2567</v>
      </c>
      <c r="E6" s="10">
        <f t="shared" si="0"/>
        <v>-19</v>
      </c>
      <c r="F6" s="9">
        <v>2915</v>
      </c>
      <c r="G6" s="10">
        <f t="shared" si="1"/>
        <v>-367</v>
      </c>
      <c r="I6" s="8" t="s">
        <v>3</v>
      </c>
      <c r="J6" s="10">
        <f>SUM('1_bezr.'!C6)</f>
        <v>4843</v>
      </c>
      <c r="K6" s="10">
        <f t="shared" si="3"/>
        <v>2548</v>
      </c>
      <c r="L6" s="36">
        <f t="shared" si="2"/>
        <v>52.612017344621101</v>
      </c>
    </row>
    <row r="7" spans="2:12" x14ac:dyDescent="0.2">
      <c r="B7" s="8" t="s">
        <v>4</v>
      </c>
      <c r="C7" s="10">
        <v>2896</v>
      </c>
      <c r="D7" s="9">
        <v>2907</v>
      </c>
      <c r="E7" s="10">
        <f t="shared" si="0"/>
        <v>-11</v>
      </c>
      <c r="F7" s="9">
        <v>3170</v>
      </c>
      <c r="G7" s="10">
        <f t="shared" si="1"/>
        <v>-274</v>
      </c>
      <c r="I7" s="8" t="s">
        <v>4</v>
      </c>
      <c r="J7" s="10">
        <f>SUM('1_bezr.'!C7)</f>
        <v>5156</v>
      </c>
      <c r="K7" s="10">
        <f t="shared" si="3"/>
        <v>2896</v>
      </c>
      <c r="L7" s="36">
        <f t="shared" si="2"/>
        <v>56.167571761055079</v>
      </c>
    </row>
    <row r="8" spans="2:12" x14ac:dyDescent="0.2">
      <c r="B8" s="8" t="s">
        <v>5</v>
      </c>
      <c r="C8" s="10">
        <v>861</v>
      </c>
      <c r="D8" s="9">
        <v>850</v>
      </c>
      <c r="E8" s="10">
        <f t="shared" si="0"/>
        <v>11</v>
      </c>
      <c r="F8" s="9">
        <v>990</v>
      </c>
      <c r="G8" s="10">
        <f t="shared" si="1"/>
        <v>-129</v>
      </c>
      <c r="I8" s="8" t="s">
        <v>5</v>
      </c>
      <c r="J8" s="10">
        <f>SUM('1_bezr.'!C8)</f>
        <v>1710</v>
      </c>
      <c r="K8" s="10">
        <f t="shared" si="3"/>
        <v>861</v>
      </c>
      <c r="L8" s="36">
        <f>SUM(K8)/J8*100</f>
        <v>50.350877192982459</v>
      </c>
    </row>
    <row r="9" spans="2:12" x14ac:dyDescent="0.2">
      <c r="B9" s="13" t="s">
        <v>6</v>
      </c>
      <c r="C9" s="10">
        <v>1207</v>
      </c>
      <c r="D9" s="9">
        <v>1173</v>
      </c>
      <c r="E9" s="10">
        <f t="shared" si="0"/>
        <v>34</v>
      </c>
      <c r="F9" s="9">
        <v>1176</v>
      </c>
      <c r="G9" s="10">
        <f t="shared" si="1"/>
        <v>31</v>
      </c>
      <c r="I9" s="13" t="s">
        <v>6</v>
      </c>
      <c r="J9" s="10">
        <f>SUM('1_bezr.'!C9)</f>
        <v>2228</v>
      </c>
      <c r="K9" s="10">
        <f t="shared" si="3"/>
        <v>1207</v>
      </c>
      <c r="L9" s="36">
        <f t="shared" si="2"/>
        <v>54.174147217235188</v>
      </c>
    </row>
    <row r="10" spans="2:12" x14ac:dyDescent="0.2">
      <c r="B10" s="8" t="s">
        <v>7</v>
      </c>
      <c r="C10" s="10">
        <v>856</v>
      </c>
      <c r="D10" s="9">
        <v>856</v>
      </c>
      <c r="E10" s="10">
        <f t="shared" si="0"/>
        <v>0</v>
      </c>
      <c r="F10" s="9">
        <v>829</v>
      </c>
      <c r="G10" s="10">
        <f t="shared" si="1"/>
        <v>27</v>
      </c>
      <c r="I10" s="8" t="s">
        <v>7</v>
      </c>
      <c r="J10" s="10">
        <f>SUM('1_bezr.'!C10)</f>
        <v>1813</v>
      </c>
      <c r="K10" s="10">
        <f t="shared" si="3"/>
        <v>856</v>
      </c>
      <c r="L10" s="36">
        <f t="shared" si="2"/>
        <v>47.214561500275785</v>
      </c>
    </row>
    <row r="11" spans="2:12" x14ac:dyDescent="0.2">
      <c r="B11" s="8" t="s">
        <v>8</v>
      </c>
      <c r="C11" s="10">
        <v>1707</v>
      </c>
      <c r="D11" s="9">
        <v>1704</v>
      </c>
      <c r="E11" s="10">
        <f t="shared" si="0"/>
        <v>3</v>
      </c>
      <c r="F11" s="9">
        <v>1902</v>
      </c>
      <c r="G11" s="10">
        <f t="shared" si="1"/>
        <v>-195</v>
      </c>
      <c r="I11" s="8" t="s">
        <v>8</v>
      </c>
      <c r="J11" s="10">
        <f>SUM('1_bezr.'!C11)</f>
        <v>3283</v>
      </c>
      <c r="K11" s="10">
        <f t="shared" si="3"/>
        <v>1707</v>
      </c>
      <c r="L11" s="36">
        <f t="shared" si="2"/>
        <v>51.995126408772464</v>
      </c>
    </row>
    <row r="12" spans="2:12" x14ac:dyDescent="0.2">
      <c r="B12" s="8" t="s">
        <v>9</v>
      </c>
      <c r="C12" s="10">
        <v>891</v>
      </c>
      <c r="D12" s="9">
        <v>918</v>
      </c>
      <c r="E12" s="10">
        <f t="shared" si="0"/>
        <v>-27</v>
      </c>
      <c r="F12" s="9">
        <v>961</v>
      </c>
      <c r="G12" s="10">
        <f t="shared" si="1"/>
        <v>-70</v>
      </c>
      <c r="I12" s="8" t="s">
        <v>9</v>
      </c>
      <c r="J12" s="10">
        <f>SUM('1_bezr.'!C12)</f>
        <v>1954</v>
      </c>
      <c r="K12" s="10">
        <f t="shared" si="3"/>
        <v>891</v>
      </c>
      <c r="L12" s="36">
        <f t="shared" si="2"/>
        <v>45.598771750255885</v>
      </c>
    </row>
    <row r="13" spans="2:12" x14ac:dyDescent="0.2">
      <c r="B13" s="8" t="s">
        <v>10</v>
      </c>
      <c r="C13" s="10">
        <v>1361</v>
      </c>
      <c r="D13" s="9">
        <v>1386</v>
      </c>
      <c r="E13" s="10">
        <f t="shared" si="0"/>
        <v>-25</v>
      </c>
      <c r="F13" s="9">
        <v>1663</v>
      </c>
      <c r="G13" s="10">
        <f t="shared" si="1"/>
        <v>-302</v>
      </c>
      <c r="I13" s="8" t="s">
        <v>10</v>
      </c>
      <c r="J13" s="10">
        <f>SUM('1_bezr.'!C13)</f>
        <v>2797</v>
      </c>
      <c r="K13" s="10">
        <f t="shared" si="3"/>
        <v>1361</v>
      </c>
      <c r="L13" s="36">
        <f t="shared" si="2"/>
        <v>48.659277797640328</v>
      </c>
    </row>
    <row r="14" spans="2:12" x14ac:dyDescent="0.2">
      <c r="B14" s="8" t="s">
        <v>11</v>
      </c>
      <c r="C14" s="10">
        <v>1425</v>
      </c>
      <c r="D14" s="9">
        <v>1373</v>
      </c>
      <c r="E14" s="10">
        <f t="shared" si="0"/>
        <v>52</v>
      </c>
      <c r="F14" s="9">
        <v>1513</v>
      </c>
      <c r="G14" s="10">
        <f t="shared" si="1"/>
        <v>-88</v>
      </c>
      <c r="I14" s="8" t="s">
        <v>11</v>
      </c>
      <c r="J14" s="10">
        <f>SUM('1_bezr.'!C14)</f>
        <v>2769</v>
      </c>
      <c r="K14" s="10">
        <f t="shared" si="3"/>
        <v>1425</v>
      </c>
      <c r="L14" s="36">
        <f t="shared" si="2"/>
        <v>51.462621885157098</v>
      </c>
    </row>
    <row r="15" spans="2:12" x14ac:dyDescent="0.2">
      <c r="B15" s="8" t="s">
        <v>12</v>
      </c>
      <c r="C15" s="10">
        <v>1718</v>
      </c>
      <c r="D15" s="9">
        <v>1736</v>
      </c>
      <c r="E15" s="10">
        <f t="shared" si="0"/>
        <v>-18</v>
      </c>
      <c r="F15" s="9">
        <v>1758</v>
      </c>
      <c r="G15" s="10">
        <f t="shared" si="1"/>
        <v>-40</v>
      </c>
      <c r="I15" s="8" t="s">
        <v>12</v>
      </c>
      <c r="J15" s="10">
        <f>SUM('1_bezr.'!C15)</f>
        <v>3248</v>
      </c>
      <c r="K15" s="10">
        <f t="shared" si="3"/>
        <v>1718</v>
      </c>
      <c r="L15" s="36">
        <f t="shared" si="2"/>
        <v>52.894088669950733</v>
      </c>
    </row>
    <row r="16" spans="2:12" x14ac:dyDescent="0.2">
      <c r="B16" s="8" t="s">
        <v>13</v>
      </c>
      <c r="C16" s="10">
        <v>1631</v>
      </c>
      <c r="D16" s="9">
        <v>1657</v>
      </c>
      <c r="E16" s="10">
        <f t="shared" si="0"/>
        <v>-26</v>
      </c>
      <c r="F16" s="9">
        <v>1910</v>
      </c>
      <c r="G16" s="10">
        <f t="shared" si="1"/>
        <v>-279</v>
      </c>
      <c r="I16" s="8" t="s">
        <v>13</v>
      </c>
      <c r="J16" s="10">
        <f>SUM('1_bezr.'!C16)</f>
        <v>3149</v>
      </c>
      <c r="K16" s="10">
        <f t="shared" si="3"/>
        <v>1631</v>
      </c>
      <c r="L16" s="36">
        <f t="shared" si="2"/>
        <v>51.794220387424581</v>
      </c>
    </row>
    <row r="17" spans="2:12" x14ac:dyDescent="0.2">
      <c r="B17" s="8" t="s">
        <v>14</v>
      </c>
      <c r="C17" s="10">
        <v>1953</v>
      </c>
      <c r="D17" s="9">
        <v>2025</v>
      </c>
      <c r="E17" s="10">
        <f t="shared" si="0"/>
        <v>-72</v>
      </c>
      <c r="F17" s="9">
        <v>2208</v>
      </c>
      <c r="G17" s="10">
        <f t="shared" si="1"/>
        <v>-255</v>
      </c>
      <c r="I17" s="8" t="s">
        <v>14</v>
      </c>
      <c r="J17" s="10">
        <f>SUM('1_bezr.'!C17)</f>
        <v>3596</v>
      </c>
      <c r="K17" s="10">
        <f t="shared" si="3"/>
        <v>1953</v>
      </c>
      <c r="L17" s="36">
        <f t="shared" si="2"/>
        <v>54.310344827586206</v>
      </c>
    </row>
    <row r="18" spans="2:12" x14ac:dyDescent="0.2">
      <c r="B18" s="8" t="s">
        <v>15</v>
      </c>
      <c r="C18" s="10">
        <v>1509</v>
      </c>
      <c r="D18" s="9">
        <v>1524</v>
      </c>
      <c r="E18" s="10">
        <f t="shared" si="0"/>
        <v>-15</v>
      </c>
      <c r="F18" s="9">
        <v>1828</v>
      </c>
      <c r="G18" s="10">
        <f t="shared" si="1"/>
        <v>-319</v>
      </c>
      <c r="I18" s="8" t="s">
        <v>15</v>
      </c>
      <c r="J18" s="10">
        <f>SUM('1_bezr.'!C18)</f>
        <v>2836</v>
      </c>
      <c r="K18" s="10">
        <f t="shared" si="3"/>
        <v>1509</v>
      </c>
      <c r="L18" s="36">
        <f t="shared" si="2"/>
        <v>53.208744710860366</v>
      </c>
    </row>
    <row r="19" spans="2:12" x14ac:dyDescent="0.2">
      <c r="B19" s="8" t="s">
        <v>16</v>
      </c>
      <c r="C19" s="10">
        <v>2571</v>
      </c>
      <c r="D19" s="9">
        <v>2536</v>
      </c>
      <c r="E19" s="10">
        <f t="shared" si="0"/>
        <v>35</v>
      </c>
      <c r="F19" s="9">
        <v>2864</v>
      </c>
      <c r="G19" s="10">
        <f t="shared" si="1"/>
        <v>-293</v>
      </c>
      <c r="I19" s="8" t="s">
        <v>16</v>
      </c>
      <c r="J19" s="10">
        <f>SUM('1_bezr.'!C19)</f>
        <v>5092</v>
      </c>
      <c r="K19" s="10">
        <f t="shared" si="3"/>
        <v>2571</v>
      </c>
      <c r="L19" s="36">
        <f t="shared" si="2"/>
        <v>50.490966221523962</v>
      </c>
    </row>
    <row r="20" spans="2:12" x14ac:dyDescent="0.2">
      <c r="B20" s="8" t="s">
        <v>17</v>
      </c>
      <c r="C20" s="10">
        <v>1422</v>
      </c>
      <c r="D20" s="9">
        <v>1402</v>
      </c>
      <c r="E20" s="10">
        <f t="shared" si="0"/>
        <v>20</v>
      </c>
      <c r="F20" s="9">
        <v>1322</v>
      </c>
      <c r="G20" s="10">
        <f t="shared" si="1"/>
        <v>100</v>
      </c>
      <c r="I20" s="8" t="s">
        <v>17</v>
      </c>
      <c r="J20" s="10">
        <f>SUM('1_bezr.'!C20)</f>
        <v>2840</v>
      </c>
      <c r="K20" s="10">
        <f t="shared" si="3"/>
        <v>1422</v>
      </c>
      <c r="L20" s="36">
        <f t="shared" si="2"/>
        <v>50.070422535211264</v>
      </c>
    </row>
    <row r="21" spans="2:12" x14ac:dyDescent="0.2">
      <c r="B21" s="8" t="s">
        <v>18</v>
      </c>
      <c r="C21" s="10">
        <v>1089</v>
      </c>
      <c r="D21" s="9">
        <v>1119</v>
      </c>
      <c r="E21" s="10">
        <f t="shared" si="0"/>
        <v>-30</v>
      </c>
      <c r="F21" s="9">
        <v>1236</v>
      </c>
      <c r="G21" s="10">
        <f t="shared" si="1"/>
        <v>-147</v>
      </c>
      <c r="I21" s="8" t="s">
        <v>18</v>
      </c>
      <c r="J21" s="10">
        <f>SUM('1_bezr.'!C21)</f>
        <v>2013</v>
      </c>
      <c r="K21" s="10">
        <f t="shared" si="3"/>
        <v>1089</v>
      </c>
      <c r="L21" s="36">
        <f t="shared" si="2"/>
        <v>54.098360655737707</v>
      </c>
    </row>
    <row r="22" spans="2:12" x14ac:dyDescent="0.2">
      <c r="B22" s="8" t="s">
        <v>19</v>
      </c>
      <c r="C22" s="10">
        <v>1749</v>
      </c>
      <c r="D22" s="9">
        <v>1802</v>
      </c>
      <c r="E22" s="10">
        <f t="shared" si="0"/>
        <v>-53</v>
      </c>
      <c r="F22" s="9">
        <v>1905</v>
      </c>
      <c r="G22" s="10">
        <f t="shared" si="1"/>
        <v>-156</v>
      </c>
      <c r="I22" s="8" t="s">
        <v>19</v>
      </c>
      <c r="J22" s="10">
        <f>SUM('1_bezr.'!C22)</f>
        <v>3417</v>
      </c>
      <c r="K22" s="10">
        <f t="shared" si="3"/>
        <v>1749</v>
      </c>
      <c r="L22" s="36">
        <f t="shared" si="2"/>
        <v>51.185250219490783</v>
      </c>
    </row>
    <row r="23" spans="2:12" x14ac:dyDescent="0.2">
      <c r="B23" s="8" t="s">
        <v>20</v>
      </c>
      <c r="C23" s="10">
        <v>737</v>
      </c>
      <c r="D23" s="9">
        <v>731</v>
      </c>
      <c r="E23" s="10">
        <f t="shared" si="0"/>
        <v>6</v>
      </c>
      <c r="F23" s="9">
        <v>867</v>
      </c>
      <c r="G23" s="10">
        <f t="shared" si="1"/>
        <v>-130</v>
      </c>
      <c r="I23" s="8" t="s">
        <v>20</v>
      </c>
      <c r="J23" s="10">
        <f>SUM('1_bezr.'!C23)</f>
        <v>1376</v>
      </c>
      <c r="K23" s="10">
        <f t="shared" si="3"/>
        <v>737</v>
      </c>
      <c r="L23" s="36">
        <f t="shared" si="2"/>
        <v>53.561046511627907</v>
      </c>
    </row>
    <row r="24" spans="2:12" x14ac:dyDescent="0.2">
      <c r="B24" s="8" t="s">
        <v>21</v>
      </c>
      <c r="C24" s="10">
        <v>436</v>
      </c>
      <c r="D24" s="9">
        <v>433</v>
      </c>
      <c r="E24" s="10">
        <f t="shared" si="0"/>
        <v>3</v>
      </c>
      <c r="F24" s="9">
        <v>428</v>
      </c>
      <c r="G24" s="10">
        <f t="shared" si="1"/>
        <v>8</v>
      </c>
      <c r="I24" s="8" t="s">
        <v>21</v>
      </c>
      <c r="J24" s="10">
        <f>SUM('1_bezr.'!C24)</f>
        <v>802</v>
      </c>
      <c r="K24" s="10">
        <f t="shared" si="3"/>
        <v>436</v>
      </c>
      <c r="L24" s="36">
        <f t="shared" si="2"/>
        <v>54.364089775561098</v>
      </c>
    </row>
    <row r="25" spans="2:12" x14ac:dyDescent="0.2">
      <c r="B25" s="8" t="s">
        <v>22</v>
      </c>
      <c r="C25" s="10">
        <v>1229</v>
      </c>
      <c r="D25" s="9">
        <v>1255</v>
      </c>
      <c r="E25" s="10">
        <f t="shared" si="0"/>
        <v>-26</v>
      </c>
      <c r="F25" s="9">
        <v>1505</v>
      </c>
      <c r="G25" s="10">
        <f t="shared" si="1"/>
        <v>-276</v>
      </c>
      <c r="I25" s="8" t="s">
        <v>22</v>
      </c>
      <c r="J25" s="10">
        <f>SUM('1_bezr.'!C25)</f>
        <v>2556</v>
      </c>
      <c r="K25" s="10">
        <f t="shared" si="3"/>
        <v>1229</v>
      </c>
      <c r="L25" s="36">
        <f t="shared" si="2"/>
        <v>48.082942097026603</v>
      </c>
    </row>
    <row r="26" spans="2:12" x14ac:dyDescent="0.2">
      <c r="B26" s="8" t="s">
        <v>23</v>
      </c>
      <c r="C26" s="10">
        <v>2829</v>
      </c>
      <c r="D26" s="9">
        <v>2866</v>
      </c>
      <c r="E26" s="10">
        <f t="shared" si="0"/>
        <v>-37</v>
      </c>
      <c r="F26" s="9">
        <v>3221</v>
      </c>
      <c r="G26" s="10">
        <f t="shared" si="1"/>
        <v>-392</v>
      </c>
      <c r="I26" s="8" t="s">
        <v>23</v>
      </c>
      <c r="J26" s="10">
        <f>SUM('1_bezr.'!C26)</f>
        <v>5508</v>
      </c>
      <c r="K26" s="10">
        <f t="shared" si="3"/>
        <v>2829</v>
      </c>
      <c r="L26" s="36">
        <f t="shared" si="2"/>
        <v>51.36165577342048</v>
      </c>
    </row>
    <row r="27" spans="2:12" x14ac:dyDescent="0.2">
      <c r="B27" s="8" t="s">
        <v>24</v>
      </c>
      <c r="C27" s="10">
        <v>609</v>
      </c>
      <c r="D27" s="9">
        <v>599</v>
      </c>
      <c r="E27" s="10">
        <f>SUM(C27)-D27</f>
        <v>10</v>
      </c>
      <c r="F27" s="9">
        <v>728</v>
      </c>
      <c r="G27" s="10">
        <f>SUM(C27)-F27</f>
        <v>-119</v>
      </c>
      <c r="I27" s="8" t="s">
        <v>24</v>
      </c>
      <c r="J27" s="10">
        <f>SUM('1_bezr.'!C27)</f>
        <v>1155</v>
      </c>
      <c r="K27" s="10">
        <f t="shared" si="3"/>
        <v>609</v>
      </c>
      <c r="L27" s="36">
        <f t="shared" si="2"/>
        <v>52.72727272727272</v>
      </c>
    </row>
    <row r="28" spans="2:12" ht="15" x14ac:dyDescent="0.25">
      <c r="B28" s="15" t="s">
        <v>25</v>
      </c>
      <c r="C28" s="16">
        <f>SUM(C3:C27)</f>
        <v>37492</v>
      </c>
      <c r="D28" s="37">
        <f>SUM(D3:D27)</f>
        <v>37650</v>
      </c>
      <c r="E28" s="16">
        <f>SUM(E3:E27)</f>
        <v>-158</v>
      </c>
      <c r="F28" s="37">
        <f>SUM(F3:F27)</f>
        <v>41512</v>
      </c>
      <c r="G28" s="16">
        <f>SUM(G3:G27)</f>
        <v>-4020</v>
      </c>
      <c r="I28" s="15" t="s">
        <v>25</v>
      </c>
      <c r="J28" s="16">
        <f>SUM(J3:J27)</f>
        <v>72068</v>
      </c>
      <c r="K28" s="16">
        <f>SUM(K3:K27)</f>
        <v>37492</v>
      </c>
      <c r="L28" s="38">
        <f t="shared" si="2"/>
        <v>52.023089304545714</v>
      </c>
    </row>
    <row r="29" spans="2:12" x14ac:dyDescent="0.2">
      <c r="E29" s="30"/>
    </row>
  </sheetData>
  <printOptions horizontalCentered="1" verticalCentered="1"/>
  <pageMargins left="0" right="0" top="0.31496062992125984" bottom="0" header="0" footer="0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7109375" style="3" customWidth="1"/>
    <col min="2" max="2" width="5.85546875" style="3" customWidth="1"/>
    <col min="3" max="3" width="24.85546875" style="3" customWidth="1"/>
    <col min="4" max="4" width="15.28515625" style="3" customWidth="1"/>
    <col min="5" max="5" width="14.85546875" style="3" customWidth="1"/>
    <col min="6" max="6" width="16.5703125" style="3" customWidth="1"/>
    <col min="7" max="7" width="14.5703125" style="3" customWidth="1"/>
    <col min="8" max="8" width="17.140625" style="3" customWidth="1"/>
    <col min="9" max="9" width="5.85546875" style="3" customWidth="1"/>
    <col min="10" max="16384" width="9.140625" style="3"/>
  </cols>
  <sheetData>
    <row r="1" spans="2:8" x14ac:dyDescent="0.2">
      <c r="B1" s="2" t="s">
        <v>80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28 II '23 r.</v>
      </c>
      <c r="E3" s="5" t="str">
        <f>T('2_kob.'!D2)</f>
        <v>liczba bezrobotnych kobiet stan na 31 I '23 r.</v>
      </c>
      <c r="F3" s="5" t="str">
        <f>T('2_kob.'!E2)</f>
        <v>wzrost/spadek do poprzedniego  miesiąca</v>
      </c>
      <c r="G3" s="5" t="str">
        <f>T('2_kob.'!F2)</f>
        <v>liczba bezrobotnych kobiet stan na 28 II '22 r.</v>
      </c>
      <c r="H3" s="5" t="str">
        <f>T('2_kob.'!G2)</f>
        <v>wzrost/spadek do analogicznego okresu ubr.</v>
      </c>
    </row>
    <row r="4" spans="2:8" x14ac:dyDescent="0.2">
      <c r="B4" s="10">
        <f>RANK('2_kob.'!C3,'2_kob.'!$C$3:'2_kob.'!$C$28,1)+COUNTIF('2_kob.'!$C$3:'2_kob.'!C3,'2_kob.'!C3)-1</f>
        <v>2</v>
      </c>
      <c r="C4" s="8" t="str">
        <f>INDEX('2_kob.'!B3:G28,MATCH(1,B4:B29,0),1)</f>
        <v>Krosno</v>
      </c>
      <c r="D4" s="39">
        <f>INDEX('2_kob.'!B3:G28,MATCH(1,B4:B29,0),2)</f>
        <v>436</v>
      </c>
      <c r="E4" s="9">
        <f>INDEX('2_kob.'!B3:G28,MATCH(1,B4:B29,0),3)</f>
        <v>433</v>
      </c>
      <c r="F4" s="10">
        <f>INDEX('2_kob.'!B3:G28,MATCH(1,B4:B29,0),4)</f>
        <v>3</v>
      </c>
      <c r="G4" s="9">
        <f>INDEX('2_kob.'!B3:G28,MATCH(1,B4:B29,0),5)</f>
        <v>428</v>
      </c>
      <c r="H4" s="10">
        <f>INDEX('2_kob.'!B3:G28,MATCH(1,B4:B29,0),6)</f>
        <v>8</v>
      </c>
    </row>
    <row r="5" spans="2:8" x14ac:dyDescent="0.2">
      <c r="B5" s="10">
        <f>RANK('2_kob.'!C4,'2_kob.'!$C$3:'2_kob.'!$C$28,1)+COUNTIF('2_kob.'!$C$3:'2_kob.'!C4,'2_kob.'!C4)-1</f>
        <v>21</v>
      </c>
      <c r="C5" s="8" t="str">
        <f>INDEX('2_kob.'!B3:G28,MATCH(2,B4:B29,0),1)</f>
        <v>bieszczadzki</v>
      </c>
      <c r="D5" s="10">
        <f>INDEX('2_kob.'!B3:G28,MATCH(2,B4:B29,0),2)</f>
        <v>600</v>
      </c>
      <c r="E5" s="9">
        <f>INDEX('2_kob.'!B3:G28,MATCH(2,B4:B29,0),3)</f>
        <v>611</v>
      </c>
      <c r="F5" s="10">
        <f>INDEX('2_kob.'!B3:G28,MATCH(2,B4:B29,0),4)</f>
        <v>-11</v>
      </c>
      <c r="G5" s="9">
        <f>INDEX('2_kob.'!B3:G28,MATCH(2,B4:B29,0),5)</f>
        <v>645</v>
      </c>
      <c r="H5" s="10">
        <f>INDEX('2_kob.'!B3:G28,MATCH(2,B4:B29,0),6)</f>
        <v>-45</v>
      </c>
    </row>
    <row r="6" spans="2:8" x14ac:dyDescent="0.2">
      <c r="B6" s="10">
        <f>RANK('2_kob.'!C5,'2_kob.'!$C$3:'2_kob.'!$C$28,1)+COUNTIF('2_kob.'!$C$3:'2_kob.'!C5,'2_kob.'!C5)-1</f>
        <v>15</v>
      </c>
      <c r="C6" s="8" t="str">
        <f>INDEX('2_kob.'!B3:G28,MATCH(3,B4:B29,0),1)</f>
        <v>Tarnobrzeg</v>
      </c>
      <c r="D6" s="10">
        <f>INDEX('2_kob.'!B3:G28,MATCH(3,B4:B29,0),2)</f>
        <v>609</v>
      </c>
      <c r="E6" s="9">
        <f>INDEX('2_kob.'!B3:G28,MATCH(3,B4:B29,0),3)</f>
        <v>599</v>
      </c>
      <c r="F6" s="10">
        <f>INDEX('2_kob.'!B3:G28,MATCH(3,B4:B29,0),4)</f>
        <v>10</v>
      </c>
      <c r="G6" s="9">
        <f>INDEX('2_kob.'!B3:G28,MATCH(3,B4:B29,0),5)</f>
        <v>728</v>
      </c>
      <c r="H6" s="10">
        <f>INDEX('2_kob.'!B3:G28,MATCH(3,B4:B29,0),6)</f>
        <v>-119</v>
      </c>
    </row>
    <row r="7" spans="2:8" x14ac:dyDescent="0.2">
      <c r="B7" s="10">
        <f>RANK('2_kob.'!C6,'2_kob.'!$C$3:'2_kob.'!$C$28,1)+COUNTIF('2_kob.'!$C$3:'2_kob.'!C6,'2_kob.'!C6)-1</f>
        <v>22</v>
      </c>
      <c r="C7" s="8" t="str">
        <f>INDEX('2_kob.'!B3:G28,MATCH(4,B4:B29,0),1)</f>
        <v xml:space="preserve">tarnobrzeski </v>
      </c>
      <c r="D7" s="10">
        <f>INDEX('2_kob.'!B3:G28,MATCH(4,B4:B29,0),2)</f>
        <v>737</v>
      </c>
      <c r="E7" s="9">
        <f>INDEX('2_kob.'!B3:G28,MATCH(4,B4:B29,0),3)</f>
        <v>731</v>
      </c>
      <c r="F7" s="10">
        <f>INDEX('2_kob.'!B3:G28,MATCH(4,B4:B29,0),4)</f>
        <v>6</v>
      </c>
      <c r="G7" s="9">
        <f>INDEX('2_kob.'!B3:G28,MATCH(4,B4:B29,0),5)</f>
        <v>867</v>
      </c>
      <c r="H7" s="10">
        <f>INDEX('2_kob.'!B3:G28,MATCH(4,B4:B29,0),6)</f>
        <v>-130</v>
      </c>
    </row>
    <row r="8" spans="2:8" x14ac:dyDescent="0.2">
      <c r="B8" s="10">
        <f>RANK('2_kob.'!C7,'2_kob.'!$C$3:'2_kob.'!$C$28,1)+COUNTIF('2_kob.'!$C$3:'2_kob.'!C7,'2_kob.'!C7)-1</f>
        <v>25</v>
      </c>
      <c r="C8" s="8" t="str">
        <f>INDEX('2_kob.'!B3:G28,MATCH(5,B4:B29,0),1)</f>
        <v>leski</v>
      </c>
      <c r="D8" s="10">
        <f>INDEX('2_kob.'!B3:G28,MATCH(5,B4:B29,0),2)</f>
        <v>856</v>
      </c>
      <c r="E8" s="9">
        <f>INDEX('2_kob.'!B3:G28,MATCH(5,B4:B29,0),3)</f>
        <v>856</v>
      </c>
      <c r="F8" s="10">
        <f>INDEX('2_kob.'!B3:G28,MATCH(5,B4:B29,0),4)</f>
        <v>0</v>
      </c>
      <c r="G8" s="9">
        <f>INDEX('2_kob.'!B3:G28,MATCH(5,B4:B29,0),5)</f>
        <v>829</v>
      </c>
      <c r="H8" s="10">
        <f>INDEX('2_kob.'!B3:G28,MATCH(5,B4:B29,0),6)</f>
        <v>27</v>
      </c>
    </row>
    <row r="9" spans="2:8" x14ac:dyDescent="0.2">
      <c r="B9" s="10">
        <f>RANK('2_kob.'!C8,'2_kob.'!$C$3:'2_kob.'!$C$28,1)+COUNTIF('2_kob.'!$C$3:'2_kob.'!C8,'2_kob.'!C8)-1</f>
        <v>6</v>
      </c>
      <c r="C9" s="8" t="str">
        <f>INDEX('2_kob.'!B3:G28,MATCH(6,B4:B29,0),1)</f>
        <v>kolbuszowski</v>
      </c>
      <c r="D9" s="10">
        <f>INDEX('2_kob.'!B3:G28,MATCH(6,B4:B29,0),2)</f>
        <v>861</v>
      </c>
      <c r="E9" s="9">
        <f>INDEX('2_kob.'!B3:G28,MATCH(6,B4:B29,0),3)</f>
        <v>850</v>
      </c>
      <c r="F9" s="10">
        <f>INDEX('2_kob.'!B3:G28,MATCH(6,B4:B29,0),4)</f>
        <v>11</v>
      </c>
      <c r="G9" s="9">
        <f>INDEX('2_kob.'!B3:G28,MATCH(6,B4:B29,0),5)</f>
        <v>990</v>
      </c>
      <c r="H9" s="10">
        <f>INDEX('2_kob.'!B3:G28,MATCH(6,B4:B29,0),6)</f>
        <v>-129</v>
      </c>
    </row>
    <row r="10" spans="2:8" x14ac:dyDescent="0.2">
      <c r="B10" s="10">
        <f>RANK('2_kob.'!C9,'2_kob.'!$C$3:'2_kob.'!$C$28,1)+COUNTIF('2_kob.'!$C$3:'2_kob.'!C9,'2_kob.'!C9)-1</f>
        <v>9</v>
      </c>
      <c r="C10" s="13" t="str">
        <f>INDEX('2_kob.'!B3:G28,MATCH(7,B4:B29,0),1)</f>
        <v>lubaczowski</v>
      </c>
      <c r="D10" s="10">
        <f>INDEX('2_kob.'!B3:G28,MATCH(7,B4:B29,0),2)</f>
        <v>891</v>
      </c>
      <c r="E10" s="9">
        <f>INDEX('2_kob.'!B3:G28,MATCH(7,B4:B29,0),3)</f>
        <v>918</v>
      </c>
      <c r="F10" s="10">
        <f>INDEX('2_kob.'!B3:G28,MATCH(7,B4:B29,0),4)</f>
        <v>-27</v>
      </c>
      <c r="G10" s="9">
        <f>INDEX('2_kob.'!B3:G28,MATCH(7,B4:B29,0),5)</f>
        <v>961</v>
      </c>
      <c r="H10" s="10">
        <f>INDEX('2_kob.'!B3:G28,MATCH(7,B4:B29,0),6)</f>
        <v>-70</v>
      </c>
    </row>
    <row r="11" spans="2:8" x14ac:dyDescent="0.2">
      <c r="B11" s="10">
        <f>RANK('2_kob.'!C10,'2_kob.'!$C$3:'2_kob.'!$C$28,1)+COUNTIF('2_kob.'!$C$3:'2_kob.'!C10,'2_kob.'!C10)-1</f>
        <v>5</v>
      </c>
      <c r="C11" s="8" t="str">
        <f>INDEX('2_kob.'!B3:G28,MATCH(8,B4:B29,0),1)</f>
        <v>stalowowolski</v>
      </c>
      <c r="D11" s="10">
        <f>INDEX('2_kob.'!B3:G28,MATCH(8,B4:B29,0),2)</f>
        <v>1089</v>
      </c>
      <c r="E11" s="9">
        <f>INDEX('2_kob.'!B3:G28,MATCH(8,B4:B29,0),3)</f>
        <v>1119</v>
      </c>
      <c r="F11" s="10">
        <f>INDEX('2_kob.'!B3:G28,MATCH(8,B4:B29,0),4)</f>
        <v>-30</v>
      </c>
      <c r="G11" s="9">
        <f>INDEX('2_kob.'!B3:G28,MATCH(8,B4:B29,0),5)</f>
        <v>1236</v>
      </c>
      <c r="H11" s="10">
        <f>INDEX('2_kob.'!B3:G28,MATCH(8,B4:B29,0),6)</f>
        <v>-147</v>
      </c>
    </row>
    <row r="12" spans="2:8" x14ac:dyDescent="0.2">
      <c r="B12" s="10">
        <f>RANK('2_kob.'!C11,'2_kob.'!$C$3:'2_kob.'!$C$28,1)+COUNTIF('2_kob.'!$C$3:'2_kob.'!C11,'2_kob.'!C11)-1</f>
        <v>17</v>
      </c>
      <c r="C12" s="8" t="str">
        <f>INDEX('2_kob.'!B3:G28,MATCH(9,B4:B29,0),1)</f>
        <v>krośnieński</v>
      </c>
      <c r="D12" s="10">
        <f>INDEX('2_kob.'!B3:G28,MATCH(9,B4:B29,0),2)</f>
        <v>1207</v>
      </c>
      <c r="E12" s="9">
        <f>INDEX('2_kob.'!B3:G28,MATCH(9,B4:B29,0),3)</f>
        <v>1173</v>
      </c>
      <c r="F12" s="10">
        <f>INDEX('2_kob.'!B3:G28,MATCH(9,B4:B29,0),4)</f>
        <v>34</v>
      </c>
      <c r="G12" s="9">
        <f>INDEX('2_kob.'!B3:G28,MATCH(9,B4:B29,0),5)</f>
        <v>1176</v>
      </c>
      <c r="H12" s="10">
        <f>INDEX('2_kob.'!B3:G28,MATCH(9,B4:B29,0),6)</f>
        <v>31</v>
      </c>
    </row>
    <row r="13" spans="2:8" x14ac:dyDescent="0.2">
      <c r="B13" s="10">
        <f>RANK('2_kob.'!C12,'2_kob.'!$C$3:'2_kob.'!$C$28,1)+COUNTIF('2_kob.'!$C$3:'2_kob.'!C12,'2_kob.'!C12)-1</f>
        <v>7</v>
      </c>
      <c r="C13" s="8" t="str">
        <f>INDEX('2_kob.'!B3:G28,MATCH(10,B4:B29,0),1)</f>
        <v>Przemyśl</v>
      </c>
      <c r="D13" s="10">
        <f>INDEX('2_kob.'!B3:G28,MATCH(10,B4:B29,0),2)</f>
        <v>1229</v>
      </c>
      <c r="E13" s="9">
        <f>INDEX('2_kob.'!B3:G28,MATCH(10,B4:B29,0),3)</f>
        <v>1255</v>
      </c>
      <c r="F13" s="10">
        <f>INDEX('2_kob.'!B3:G28,MATCH(10,B4:B29,0),4)</f>
        <v>-26</v>
      </c>
      <c r="G13" s="9">
        <f>INDEX('2_kob.'!B3:G28,MATCH(10,B4:B29,0),5)</f>
        <v>1505</v>
      </c>
      <c r="H13" s="10">
        <f>INDEX('2_kob.'!B3:G28,MATCH(10,B4:B29,0),6)</f>
        <v>-276</v>
      </c>
    </row>
    <row r="14" spans="2:8" x14ac:dyDescent="0.2">
      <c r="B14" s="10">
        <f>RANK('2_kob.'!C13,'2_kob.'!$C$3:'2_kob.'!$C$28,1)+COUNTIF('2_kob.'!$C$3:'2_kob.'!C13,'2_kob.'!C13)-1</f>
        <v>11</v>
      </c>
      <c r="C14" s="8" t="str">
        <f>INDEX('2_kob.'!B3:G28,MATCH(11,B4:B29,0),1)</f>
        <v>łańcucki</v>
      </c>
      <c r="D14" s="10">
        <f>INDEX('2_kob.'!B3:G28,MATCH(11,B4:B29,0),2)</f>
        <v>1361</v>
      </c>
      <c r="E14" s="9">
        <f>INDEX('2_kob.'!B3:G28,MATCH(11,B4:B29,0),3)</f>
        <v>1386</v>
      </c>
      <c r="F14" s="10">
        <f>INDEX('2_kob.'!B3:G28,MATCH(11,B4:B29,0),4)</f>
        <v>-25</v>
      </c>
      <c r="G14" s="9">
        <f>INDEX('2_kob.'!B3:G28,MATCH(11,B4:B29,0),5)</f>
        <v>1663</v>
      </c>
      <c r="H14" s="10">
        <f>INDEX('2_kob.'!B3:G28,MATCH(11,B4:B29,0),6)</f>
        <v>-302</v>
      </c>
    </row>
    <row r="15" spans="2:8" x14ac:dyDescent="0.2">
      <c r="B15" s="10">
        <f>RANK('2_kob.'!C14,'2_kob.'!$C$3:'2_kob.'!$C$28,1)+COUNTIF('2_kob.'!$C$3:'2_kob.'!C14,'2_kob.'!C14)-1</f>
        <v>13</v>
      </c>
      <c r="C15" s="8" t="str">
        <f>INDEX('2_kob.'!B3:G28,MATCH(12,B4:B29,0),1)</f>
        <v>sanocki</v>
      </c>
      <c r="D15" s="10">
        <f>INDEX('2_kob.'!B3:G28,MATCH(12,B4:B29,0),2)</f>
        <v>1422</v>
      </c>
      <c r="E15" s="9">
        <f>INDEX('2_kob.'!B3:G28,MATCH(12,B4:B29,0),3)</f>
        <v>1402</v>
      </c>
      <c r="F15" s="10">
        <f>INDEX('2_kob.'!B3:G28,MATCH(12,B4:B29,0),4)</f>
        <v>20</v>
      </c>
      <c r="G15" s="9">
        <f>INDEX('2_kob.'!B3:G28,MATCH(12,B4:B29,0),5)</f>
        <v>1322</v>
      </c>
      <c r="H15" s="10">
        <f>INDEX('2_kob.'!B3:G28,MATCH(12,B4:B29,0),6)</f>
        <v>100</v>
      </c>
    </row>
    <row r="16" spans="2:8" x14ac:dyDescent="0.2">
      <c r="B16" s="10">
        <f>RANK('2_kob.'!C15,'2_kob.'!$C$3:'2_kob.'!$C$28,1)+COUNTIF('2_kob.'!$C$3:'2_kob.'!C15,'2_kob.'!C15)-1</f>
        <v>18</v>
      </c>
      <c r="C16" s="8" t="str">
        <f>INDEX('2_kob.'!B3:G28,MATCH(13,B4:B29,0),1)</f>
        <v>mielecki</v>
      </c>
      <c r="D16" s="10">
        <f>INDEX('2_kob.'!B3:G28,MATCH(13,B4:B29,0),2)</f>
        <v>1425</v>
      </c>
      <c r="E16" s="9">
        <f>INDEX('2_kob.'!B3:G28,MATCH(13,B4:B29,0),3)</f>
        <v>1373</v>
      </c>
      <c r="F16" s="10">
        <f>INDEX('2_kob.'!B3:G28,MATCH(13,B4:B29,0),4)</f>
        <v>52</v>
      </c>
      <c r="G16" s="9">
        <f>INDEX('2_kob.'!B3:G28,MATCH(13,B4:B29,0),5)</f>
        <v>1513</v>
      </c>
      <c r="H16" s="10">
        <f>INDEX('2_kob.'!B3:G28,MATCH(13,B4:B29,0),6)</f>
        <v>-88</v>
      </c>
    </row>
    <row r="17" spans="2:8" x14ac:dyDescent="0.2">
      <c r="B17" s="10">
        <f>RANK('2_kob.'!C16,'2_kob.'!$C$3:'2_kob.'!$C$28,1)+COUNTIF('2_kob.'!$C$3:'2_kob.'!C16,'2_kob.'!C16)-1</f>
        <v>16</v>
      </c>
      <c r="C17" s="8" t="str">
        <f>INDEX('2_kob.'!B3:G28,MATCH(14,B4:B29,0),1)</f>
        <v>ropczycko-sędziszowski</v>
      </c>
      <c r="D17" s="10">
        <f>INDEX('2_kob.'!B3:G28,MATCH(14,B4:B29,0),2)</f>
        <v>1509</v>
      </c>
      <c r="E17" s="9">
        <f>INDEX('2_kob.'!B3:G28,MATCH(14,B4:B29,0),3)</f>
        <v>1524</v>
      </c>
      <c r="F17" s="10">
        <f>INDEX('2_kob.'!B3:G28,MATCH(14,B4:B29,0),4)</f>
        <v>-15</v>
      </c>
      <c r="G17" s="9">
        <f>INDEX('2_kob.'!B3:G28,MATCH(14,B4:B29,0),5)</f>
        <v>1828</v>
      </c>
      <c r="H17" s="10">
        <f>INDEX('2_kob.'!B3:G28,MATCH(14,B4:B29,0),6)</f>
        <v>-319</v>
      </c>
    </row>
    <row r="18" spans="2:8" x14ac:dyDescent="0.2">
      <c r="B18" s="10">
        <f>RANK('2_kob.'!C17,'2_kob.'!$C$3:'2_kob.'!$C$28,1)+COUNTIF('2_kob.'!$C$3:'2_kob.'!C17,'2_kob.'!C17)-1</f>
        <v>20</v>
      </c>
      <c r="C18" s="8" t="str">
        <f>INDEX('2_kob.'!B3:G28,MATCH(15,B4:B29,0),1)</f>
        <v>dębicki</v>
      </c>
      <c r="D18" s="10">
        <f>INDEX('2_kob.'!B3:G28,MATCH(15,B4:B29,0),2)</f>
        <v>1568</v>
      </c>
      <c r="E18" s="9">
        <f>INDEX('2_kob.'!B3:G28,MATCH(15,B4:B29,0),3)</f>
        <v>1537</v>
      </c>
      <c r="F18" s="10">
        <f>INDEX('2_kob.'!B3:G28,MATCH(15,B4:B29,0),4)</f>
        <v>31</v>
      </c>
      <c r="G18" s="9">
        <f>INDEX('2_kob.'!B3:G28,MATCH(15,B4:B29,0),5)</f>
        <v>1734</v>
      </c>
      <c r="H18" s="10">
        <f>INDEX('2_kob.'!B3:G28,MATCH(15,B4:B29,0),6)</f>
        <v>-166</v>
      </c>
    </row>
    <row r="19" spans="2:8" x14ac:dyDescent="0.2">
      <c r="B19" s="10">
        <f>RANK('2_kob.'!C18,'2_kob.'!$C$3:'2_kob.'!$C$28,1)+COUNTIF('2_kob.'!$C$3:'2_kob.'!C18,'2_kob.'!C18)-1</f>
        <v>14</v>
      </c>
      <c r="C19" s="8" t="str">
        <f>INDEX('2_kob.'!B3:G28,MATCH(16,B4:B29,0),1)</f>
        <v>przemyski</v>
      </c>
      <c r="D19" s="10">
        <f>INDEX('2_kob.'!B3:G28,MATCH(16,B4:B29,0),2)</f>
        <v>1631</v>
      </c>
      <c r="E19" s="9">
        <f>INDEX('2_kob.'!B3:G28,MATCH(16,B4:B29,0),3)</f>
        <v>1657</v>
      </c>
      <c r="F19" s="10">
        <f>INDEX('2_kob.'!B3:G28,MATCH(16,B4:B29,0),4)</f>
        <v>-26</v>
      </c>
      <c r="G19" s="9">
        <f>INDEX('2_kob.'!B3:G28,MATCH(16,B4:B29,0),5)</f>
        <v>1910</v>
      </c>
      <c r="H19" s="10">
        <f>INDEX('2_kob.'!B3:G28,MATCH(16,B4:B29,0),6)</f>
        <v>-279</v>
      </c>
    </row>
    <row r="20" spans="2:8" x14ac:dyDescent="0.2">
      <c r="B20" s="10">
        <f>RANK('2_kob.'!C19,'2_kob.'!$C$3:'2_kob.'!$C$28,1)+COUNTIF('2_kob.'!$C$3:'2_kob.'!C19,'2_kob.'!C19)-1</f>
        <v>23</v>
      </c>
      <c r="C20" s="8" t="str">
        <f>INDEX('2_kob.'!B3:G28,MATCH(17,B4:B29,0),1)</f>
        <v>leżajski</v>
      </c>
      <c r="D20" s="10">
        <f>INDEX('2_kob.'!B3:G28,MATCH(17,B4:B29,0),2)</f>
        <v>1707</v>
      </c>
      <c r="E20" s="9">
        <f>INDEX('2_kob.'!B3:G28,MATCH(17,B4:B29,0),3)</f>
        <v>1704</v>
      </c>
      <c r="F20" s="10">
        <f>INDEX('2_kob.'!B3:G28,MATCH(17,B4:B29,0),4)</f>
        <v>3</v>
      </c>
      <c r="G20" s="9">
        <f>INDEX('2_kob.'!B3:G28,MATCH(17,B4:B29,0),5)</f>
        <v>1902</v>
      </c>
      <c r="H20" s="10">
        <f>INDEX('2_kob.'!B3:G28,MATCH(17,B4:B29,0),6)</f>
        <v>-195</v>
      </c>
    </row>
    <row r="21" spans="2:8" x14ac:dyDescent="0.2">
      <c r="B21" s="10">
        <f>RANK('2_kob.'!C20,'2_kob.'!$C$3:'2_kob.'!$C$28,1)+COUNTIF('2_kob.'!$C$3:'2_kob.'!C20,'2_kob.'!C20)-1</f>
        <v>12</v>
      </c>
      <c r="C21" s="8" t="str">
        <f>INDEX('2_kob.'!B3:G28,MATCH(18,B4:B29,0),1)</f>
        <v>niżański</v>
      </c>
      <c r="D21" s="10">
        <f>INDEX('2_kob.'!B3:G28,MATCH(18,B4:B29,0),2)</f>
        <v>1718</v>
      </c>
      <c r="E21" s="9">
        <f>INDEX('2_kob.'!B3:G28,MATCH(18,B4:B29,0),3)</f>
        <v>1736</v>
      </c>
      <c r="F21" s="10">
        <f>INDEX('2_kob.'!B3:G28,MATCH(18,B4:B29,0),4)</f>
        <v>-18</v>
      </c>
      <c r="G21" s="9">
        <f>INDEX('2_kob.'!B3:G28,MATCH(18,B4:B29,0),5)</f>
        <v>1758</v>
      </c>
      <c r="H21" s="10">
        <f>INDEX('2_kob.'!B3:G28,MATCH(18,B4:B29,0),6)</f>
        <v>-40</v>
      </c>
    </row>
    <row r="22" spans="2:8" x14ac:dyDescent="0.2">
      <c r="B22" s="10">
        <f>RANK('2_kob.'!C21,'2_kob.'!$C$3:'2_kob.'!$C$28,1)+COUNTIF('2_kob.'!$C$3:'2_kob.'!C21,'2_kob.'!C21)-1</f>
        <v>8</v>
      </c>
      <c r="C22" s="8" t="str">
        <f>INDEX('2_kob.'!B3:G28,MATCH(19,B4:B29,0),1)</f>
        <v>strzyżowski</v>
      </c>
      <c r="D22" s="10">
        <f>INDEX('2_kob.'!B3:G28,MATCH(19,B4:B29,0),2)</f>
        <v>1749</v>
      </c>
      <c r="E22" s="9">
        <f>INDEX('2_kob.'!B3:G28,MATCH(19,B4:B29,0),3)</f>
        <v>1802</v>
      </c>
      <c r="F22" s="10">
        <f>INDEX('2_kob.'!B3:G28,MATCH(19,B4:B29,0),4)</f>
        <v>-53</v>
      </c>
      <c r="G22" s="9">
        <f>INDEX('2_kob.'!B3:G28,MATCH(19,B4:B29,0),5)</f>
        <v>1905</v>
      </c>
      <c r="H22" s="10">
        <f>INDEX('2_kob.'!B3:G28,MATCH(19,B4:B29,0),6)</f>
        <v>-156</v>
      </c>
    </row>
    <row r="23" spans="2:8" x14ac:dyDescent="0.2">
      <c r="B23" s="10">
        <f>RANK('2_kob.'!C22,'2_kob.'!$C$3:'2_kob.'!$C$28,1)+COUNTIF('2_kob.'!$C$3:'2_kob.'!C22,'2_kob.'!C22)-1</f>
        <v>19</v>
      </c>
      <c r="C23" s="8" t="str">
        <f>INDEX('2_kob.'!B3:G28,MATCH(20,B4:B29,0),1)</f>
        <v>przeworski</v>
      </c>
      <c r="D23" s="10">
        <f>INDEX('2_kob.'!B3:G28,MATCH(20,B4:B29,0),2)</f>
        <v>1953</v>
      </c>
      <c r="E23" s="9">
        <f>INDEX('2_kob.'!B3:G28,MATCH(20,B4:B29,0),3)</f>
        <v>2025</v>
      </c>
      <c r="F23" s="10">
        <f>INDEX('2_kob.'!B3:G28,MATCH(20,B4:B29,0),4)</f>
        <v>-72</v>
      </c>
      <c r="G23" s="9">
        <f>INDEX('2_kob.'!B3:G28,MATCH(20,B4:B29,0),5)</f>
        <v>2208</v>
      </c>
      <c r="H23" s="10">
        <f>INDEX('2_kob.'!B3:G28,MATCH(20,B4:B29,0),6)</f>
        <v>-255</v>
      </c>
    </row>
    <row r="24" spans="2:8" x14ac:dyDescent="0.2">
      <c r="B24" s="10">
        <f>RANK('2_kob.'!C23,'2_kob.'!$C$3:'2_kob.'!$C$28,1)+COUNTIF('2_kob.'!$C$3:'2_kob.'!C23,'2_kob.'!C23)-1</f>
        <v>4</v>
      </c>
      <c r="C24" s="8" t="str">
        <f>INDEX('2_kob.'!B3:G28,MATCH(21,B4:B29,0),1)</f>
        <v>brzozowski</v>
      </c>
      <c r="D24" s="10">
        <f>INDEX('2_kob.'!B3:G28,MATCH(21,B4:B29,0),2)</f>
        <v>2090</v>
      </c>
      <c r="E24" s="9">
        <f>INDEX('2_kob.'!B3:G28,MATCH(21,B4:B29,0),3)</f>
        <v>2083</v>
      </c>
      <c r="F24" s="10">
        <f>INDEX('2_kob.'!B3:G28,MATCH(21,B4:B29,0),4)</f>
        <v>7</v>
      </c>
      <c r="G24" s="9">
        <f>INDEX('2_kob.'!B3:G28,MATCH(21,B4:B29,0),5)</f>
        <v>2234</v>
      </c>
      <c r="H24" s="10">
        <f>INDEX('2_kob.'!B3:G28,MATCH(21,B4:B29,0),6)</f>
        <v>-144</v>
      </c>
    </row>
    <row r="25" spans="2:8" x14ac:dyDescent="0.2">
      <c r="B25" s="10">
        <f>RANK('2_kob.'!C24,'2_kob.'!$C$3:'2_kob.'!$C$28,1)+COUNTIF('2_kob.'!$C$3:'2_kob.'!C24,'2_kob.'!C24)-1</f>
        <v>1</v>
      </c>
      <c r="C25" s="8" t="str">
        <f>INDEX('2_kob.'!B3:G28,MATCH(22,B4:B29,0),1)</f>
        <v>jarosławski</v>
      </c>
      <c r="D25" s="10">
        <f>INDEX('2_kob.'!B3:G28,MATCH(22,B4:B29,0),2)</f>
        <v>2548</v>
      </c>
      <c r="E25" s="9">
        <f>INDEX('2_kob.'!B3:G28,MATCH(22,B4:B29,0),3)</f>
        <v>2567</v>
      </c>
      <c r="F25" s="10">
        <f>INDEX('2_kob.'!B3:G28,MATCH(22,B4:B29,0),4)</f>
        <v>-19</v>
      </c>
      <c r="G25" s="9">
        <f>INDEX('2_kob.'!B3:G28,MATCH(22,B4:B29,0),5)</f>
        <v>2915</v>
      </c>
      <c r="H25" s="10">
        <f>INDEX('2_kob.'!B3:G28,MATCH(22,B4:B29,0),6)</f>
        <v>-367</v>
      </c>
    </row>
    <row r="26" spans="2:8" x14ac:dyDescent="0.2">
      <c r="B26" s="10">
        <f>RANK('2_kob.'!C25,'2_kob.'!$C$3:'2_kob.'!$C$28,1)+COUNTIF('2_kob.'!$C$3:'2_kob.'!C25,'2_kob.'!C25)-1</f>
        <v>10</v>
      </c>
      <c r="C26" s="8" t="str">
        <f>INDEX('2_kob.'!B3:G28,MATCH(23,B4:B29,0),1)</f>
        <v>rzeszowski</v>
      </c>
      <c r="D26" s="10">
        <f>INDEX('2_kob.'!B3:G28,MATCH(23,B4:B29,0),2)</f>
        <v>2571</v>
      </c>
      <c r="E26" s="9">
        <f>INDEX('2_kob.'!B3:G28,MATCH(23,B4:B29,0),3)</f>
        <v>2536</v>
      </c>
      <c r="F26" s="10">
        <f>INDEX('2_kob.'!B3:G28,MATCH(23,B4:B29,0),4)</f>
        <v>35</v>
      </c>
      <c r="G26" s="9">
        <f>INDEX('2_kob.'!B3:G28,MATCH(23,B4:B29,0),5)</f>
        <v>2864</v>
      </c>
      <c r="H26" s="10">
        <f>INDEX('2_kob.'!B3:G28,MATCH(23,B4:B29,0),6)</f>
        <v>-293</v>
      </c>
    </row>
    <row r="27" spans="2:8" x14ac:dyDescent="0.2">
      <c r="B27" s="10">
        <f>RANK('2_kob.'!C26,'2_kob.'!$C$3:'2_kob.'!$C$28,1)+COUNTIF('2_kob.'!$C$3:'2_kob.'!C26,'2_kob.'!C26)-1</f>
        <v>24</v>
      </c>
      <c r="C27" s="8" t="str">
        <f>INDEX('2_kob.'!B3:G28,MATCH(24,B4:B29,0),1)</f>
        <v>Rzeszów</v>
      </c>
      <c r="D27" s="10">
        <f>INDEX('2_kob.'!B3:G28,MATCH(24,B4:B29,0),2)</f>
        <v>2829</v>
      </c>
      <c r="E27" s="9">
        <f>INDEX('2_kob.'!B3:G28,MATCH(24,B4:B29,0),3)</f>
        <v>2866</v>
      </c>
      <c r="F27" s="10">
        <f>INDEX('2_kob.'!B3:G28,MATCH(24,B4:B29,0),4)</f>
        <v>-37</v>
      </c>
      <c r="G27" s="9">
        <f>INDEX('2_kob.'!B3:G28,MATCH(24,B4:B29,0),5)</f>
        <v>3221</v>
      </c>
      <c r="H27" s="10">
        <f>INDEX('2_kob.'!B3:G28,MATCH(24,B4:B29,0),6)</f>
        <v>-392</v>
      </c>
    </row>
    <row r="28" spans="2:8" x14ac:dyDescent="0.2">
      <c r="B28" s="10">
        <f>RANK('2_kob.'!C27,'2_kob.'!$C$3:'2_kob.'!$C$28,1)+COUNTIF('2_kob.'!$C$3:'2_kob.'!C27,'2_kob.'!C27)-1</f>
        <v>3</v>
      </c>
      <c r="C28" s="8" t="str">
        <f>INDEX('2_kob.'!B3:G28,MATCH(25,B4:B29,0),1)</f>
        <v>jasielski</v>
      </c>
      <c r="D28" s="10">
        <f>INDEX('2_kob.'!B3:G28,MATCH(25,B4:B29,0),2)</f>
        <v>2896</v>
      </c>
      <c r="E28" s="9">
        <f>INDEX('2_kob.'!B3:G28,MATCH(25,B4:B29,0),3)</f>
        <v>2907</v>
      </c>
      <c r="F28" s="10">
        <f>INDEX('2_kob.'!B3:G28,MATCH(25,B4:B29,0),4)</f>
        <v>-11</v>
      </c>
      <c r="G28" s="9">
        <f>INDEX('2_kob.'!B3:G28,MATCH(25,B4:B29,0),5)</f>
        <v>3170</v>
      </c>
      <c r="H28" s="10">
        <f>INDEX('2_kob.'!B3:G28,MATCH(25,B4:B29,0),6)</f>
        <v>-274</v>
      </c>
    </row>
    <row r="29" spans="2:8" ht="15" x14ac:dyDescent="0.25">
      <c r="B29" s="34">
        <f>RANK('2_kob.'!C28,'2_kob.'!$C$3:'2_kob.'!$C$28,1)+COUNTIF('2_kob.'!$C$3:'2_kob.'!C28,'2_kob.'!C28)-1</f>
        <v>26</v>
      </c>
      <c r="C29" s="35" t="str">
        <f>INDEX('2_kob.'!B3:G28,MATCH(26,B4:B29,0),1)</f>
        <v>województwo</v>
      </c>
      <c r="D29" s="34">
        <f>INDEX('2_kob.'!B3:G28,MATCH(26,B4:B29,0),2)</f>
        <v>37492</v>
      </c>
      <c r="E29" s="17">
        <f>INDEX('2_kob.'!B3:G28,MATCH(26,B4:B29,0),3)</f>
        <v>37650</v>
      </c>
      <c r="F29" s="34">
        <f>INDEX('2_kob.'!B3:G28,MATCH(26,B4:B29,0),4)</f>
        <v>-158</v>
      </c>
      <c r="G29" s="17">
        <f>INDEX('2_kob.'!B3:G28,MATCH(26,B4:B29,0),5)</f>
        <v>41512</v>
      </c>
      <c r="H29" s="34">
        <f>INDEX('2_kob.'!B3:G28,MATCH(26,B4:B29,0),6)</f>
        <v>-4020</v>
      </c>
    </row>
  </sheetData>
  <pageMargins left="0" right="0" top="0.31496062992125984" bottom="0" header="0" footer="0"/>
  <pageSetup paperSize="9" scale="7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H22"/>
  <sheetViews>
    <sheetView zoomScale="80" zoomScaleNormal="80" workbookViewId="0">
      <selection activeCell="B1" sqref="B1"/>
    </sheetView>
  </sheetViews>
  <sheetFormatPr defaultRowHeight="14.25" x14ac:dyDescent="0.2"/>
  <cols>
    <col min="1" max="1" width="4.42578125" style="39" customWidth="1"/>
    <col min="2" max="2" width="33.42578125" style="3" customWidth="1"/>
    <col min="3" max="3" width="15.85546875" style="3" customWidth="1"/>
    <col min="4" max="4" width="16.140625" style="3" customWidth="1"/>
    <col min="5" max="5" width="15.28515625" style="3" customWidth="1"/>
    <col min="6" max="6" width="16.42578125" style="3" customWidth="1"/>
    <col min="7" max="7" width="14.7109375" style="3" customWidth="1"/>
    <col min="8" max="8" width="9.140625" style="39"/>
    <col min="9" max="16384" width="9.140625" style="3"/>
  </cols>
  <sheetData>
    <row r="1" spans="1:8" ht="15" customHeight="1" x14ac:dyDescent="0.2">
      <c r="B1" s="2" t="s">
        <v>89</v>
      </c>
    </row>
    <row r="2" spans="1:8" ht="71.25" x14ac:dyDescent="0.2">
      <c r="B2" s="40" t="s">
        <v>27</v>
      </c>
      <c r="C2" s="40" t="s">
        <v>115</v>
      </c>
      <c r="D2" s="41" t="s">
        <v>104</v>
      </c>
      <c r="E2" s="40" t="s">
        <v>81</v>
      </c>
      <c r="F2" s="41" t="s">
        <v>116</v>
      </c>
      <c r="G2" s="40" t="s">
        <v>82</v>
      </c>
    </row>
    <row r="3" spans="1:8" ht="15" x14ac:dyDescent="0.2">
      <c r="A3" s="39">
        <v>1</v>
      </c>
      <c r="B3" s="42" t="s">
        <v>33</v>
      </c>
      <c r="C3" s="43">
        <v>5.5</v>
      </c>
      <c r="D3" s="44">
        <v>5.5</v>
      </c>
      <c r="E3" s="43">
        <f t="shared" ref="E3:E19" si="0">SUM(C3)-D3</f>
        <v>0</v>
      </c>
      <c r="F3" s="45">
        <v>5.9</v>
      </c>
      <c r="G3" s="43">
        <f t="shared" ref="G3:G19" si="1">SUM(C3)-F3</f>
        <v>-0.40000000000000036</v>
      </c>
      <c r="H3" s="46"/>
    </row>
    <row r="4" spans="1:8" x14ac:dyDescent="0.2">
      <c r="A4" s="39">
        <v>2</v>
      </c>
      <c r="B4" s="47" t="s">
        <v>34</v>
      </c>
      <c r="C4" s="48">
        <v>4.8</v>
      </c>
      <c r="D4" s="49">
        <v>4.7</v>
      </c>
      <c r="E4" s="48">
        <f t="shared" si="0"/>
        <v>9.9999999999999645E-2</v>
      </c>
      <c r="F4" s="49">
        <v>5</v>
      </c>
      <c r="G4" s="48">
        <f t="shared" si="1"/>
        <v>-0.20000000000000018</v>
      </c>
      <c r="H4" s="46"/>
    </row>
    <row r="5" spans="1:8" x14ac:dyDescent="0.2">
      <c r="A5" s="39">
        <v>3</v>
      </c>
      <c r="B5" s="47" t="s">
        <v>35</v>
      </c>
      <c r="C5" s="50">
        <v>7.8</v>
      </c>
      <c r="D5" s="49">
        <v>7.8</v>
      </c>
      <c r="E5" s="50">
        <f t="shared" si="0"/>
        <v>0</v>
      </c>
      <c r="F5" s="49">
        <v>8.1999999999999993</v>
      </c>
      <c r="G5" s="48">
        <f t="shared" si="1"/>
        <v>-0.39999999999999947</v>
      </c>
      <c r="H5" s="46"/>
    </row>
    <row r="6" spans="1:8" x14ac:dyDescent="0.2">
      <c r="A6" s="39">
        <v>4</v>
      </c>
      <c r="B6" s="47" t="s">
        <v>36</v>
      </c>
      <c r="C6" s="48">
        <v>8.4</v>
      </c>
      <c r="D6" s="49">
        <v>8.4</v>
      </c>
      <c r="E6" s="48">
        <f t="shared" si="0"/>
        <v>0</v>
      </c>
      <c r="F6" s="49">
        <v>9</v>
      </c>
      <c r="G6" s="48">
        <f t="shared" si="1"/>
        <v>-0.59999999999999964</v>
      </c>
      <c r="H6" s="46"/>
    </row>
    <row r="7" spans="1:8" x14ac:dyDescent="0.2">
      <c r="A7" s="39">
        <v>5</v>
      </c>
      <c r="B7" s="47" t="s">
        <v>37</v>
      </c>
      <c r="C7" s="48">
        <v>4.7</v>
      </c>
      <c r="D7" s="49">
        <v>4.7</v>
      </c>
      <c r="E7" s="48">
        <f t="shared" si="0"/>
        <v>0</v>
      </c>
      <c r="F7" s="49">
        <v>5.0999999999999996</v>
      </c>
      <c r="G7" s="48">
        <f t="shared" si="1"/>
        <v>-0.39999999999999947</v>
      </c>
      <c r="H7" s="46"/>
    </row>
    <row r="8" spans="1:8" x14ac:dyDescent="0.2">
      <c r="A8" s="39">
        <v>6</v>
      </c>
      <c r="B8" s="47" t="s">
        <v>38</v>
      </c>
      <c r="C8" s="48">
        <v>5.8</v>
      </c>
      <c r="D8" s="49">
        <v>5.7</v>
      </c>
      <c r="E8" s="48">
        <f t="shared" si="0"/>
        <v>9.9999999999999645E-2</v>
      </c>
      <c r="F8" s="49">
        <v>6.2</v>
      </c>
      <c r="G8" s="48">
        <f t="shared" si="1"/>
        <v>-0.40000000000000036</v>
      </c>
      <c r="H8" s="46"/>
    </row>
    <row r="9" spans="1:8" x14ac:dyDescent="0.2">
      <c r="A9" s="39">
        <v>7</v>
      </c>
      <c r="B9" s="47" t="s">
        <v>39</v>
      </c>
      <c r="C9" s="48">
        <v>4.9000000000000004</v>
      </c>
      <c r="D9" s="49">
        <v>4.8</v>
      </c>
      <c r="E9" s="48">
        <f t="shared" si="0"/>
        <v>0.10000000000000053</v>
      </c>
      <c r="F9" s="49">
        <v>5.0999999999999996</v>
      </c>
      <c r="G9" s="48">
        <f t="shared" si="1"/>
        <v>-0.19999999999999929</v>
      </c>
      <c r="H9" s="46"/>
    </row>
    <row r="10" spans="1:8" x14ac:dyDescent="0.2">
      <c r="A10" s="39">
        <v>8</v>
      </c>
      <c r="B10" s="47" t="s">
        <v>40</v>
      </c>
      <c r="C10" s="48">
        <v>4.4000000000000004</v>
      </c>
      <c r="D10" s="49">
        <v>4.4000000000000004</v>
      </c>
      <c r="E10" s="48">
        <f t="shared" si="0"/>
        <v>0</v>
      </c>
      <c r="F10" s="49">
        <v>4.8</v>
      </c>
      <c r="G10" s="48">
        <f t="shared" si="1"/>
        <v>-0.39999999999999947</v>
      </c>
      <c r="H10" s="46"/>
    </row>
    <row r="11" spans="1:8" x14ac:dyDescent="0.2">
      <c r="A11" s="39">
        <v>9</v>
      </c>
      <c r="B11" s="47" t="s">
        <v>41</v>
      </c>
      <c r="C11" s="48">
        <v>6.5</v>
      </c>
      <c r="D11" s="49">
        <v>6.4</v>
      </c>
      <c r="E11" s="48">
        <f t="shared" si="0"/>
        <v>9.9999999999999645E-2</v>
      </c>
      <c r="F11" s="49">
        <v>6.5</v>
      </c>
      <c r="G11" s="48">
        <f t="shared" si="1"/>
        <v>0</v>
      </c>
      <c r="H11" s="46"/>
    </row>
    <row r="12" spans="1:8" ht="15" x14ac:dyDescent="0.2">
      <c r="A12" s="39">
        <v>10</v>
      </c>
      <c r="B12" s="42" t="s">
        <v>42</v>
      </c>
      <c r="C12" s="43">
        <v>9.1999999999999993</v>
      </c>
      <c r="D12" s="45">
        <v>9.1999999999999993</v>
      </c>
      <c r="E12" s="43">
        <f t="shared" si="0"/>
        <v>0</v>
      </c>
      <c r="F12" s="45">
        <v>10</v>
      </c>
      <c r="G12" s="43">
        <f t="shared" si="1"/>
        <v>-0.80000000000000071</v>
      </c>
      <c r="H12" s="46"/>
    </row>
    <row r="13" spans="1:8" x14ac:dyDescent="0.2">
      <c r="A13" s="39">
        <v>11</v>
      </c>
      <c r="B13" s="47" t="s">
        <v>43</v>
      </c>
      <c r="C13" s="48">
        <v>7.6</v>
      </c>
      <c r="D13" s="49">
        <v>7.6</v>
      </c>
      <c r="E13" s="48">
        <f t="shared" si="0"/>
        <v>0</v>
      </c>
      <c r="F13" s="49">
        <v>8</v>
      </c>
      <c r="G13" s="48">
        <f t="shared" si="1"/>
        <v>-0.40000000000000036</v>
      </c>
      <c r="H13" s="46"/>
    </row>
    <row r="14" spans="1:8" x14ac:dyDescent="0.2">
      <c r="A14" s="39">
        <v>12</v>
      </c>
      <c r="B14" s="47" t="s">
        <v>44</v>
      </c>
      <c r="C14" s="48">
        <v>5</v>
      </c>
      <c r="D14" s="49">
        <v>4.9000000000000004</v>
      </c>
      <c r="E14" s="48">
        <f t="shared" si="0"/>
        <v>9.9999999999999645E-2</v>
      </c>
      <c r="F14" s="49">
        <v>5.3</v>
      </c>
      <c r="G14" s="48">
        <f t="shared" si="1"/>
        <v>-0.29999999999999982</v>
      </c>
      <c r="H14" s="46"/>
    </row>
    <row r="15" spans="1:8" x14ac:dyDescent="0.2">
      <c r="A15" s="39">
        <v>13</v>
      </c>
      <c r="B15" s="47" t="s">
        <v>45</v>
      </c>
      <c r="C15" s="48">
        <v>3.9</v>
      </c>
      <c r="D15" s="49">
        <v>3.9</v>
      </c>
      <c r="E15" s="48">
        <f t="shared" si="0"/>
        <v>0</v>
      </c>
      <c r="F15" s="49">
        <v>4.4000000000000004</v>
      </c>
      <c r="G15" s="48">
        <f t="shared" si="1"/>
        <v>-0.50000000000000044</v>
      </c>
      <c r="H15" s="46"/>
    </row>
    <row r="16" spans="1:8" x14ac:dyDescent="0.2">
      <c r="A16" s="39">
        <v>14</v>
      </c>
      <c r="B16" s="47" t="s">
        <v>46</v>
      </c>
      <c r="C16" s="48">
        <v>8.3000000000000007</v>
      </c>
      <c r="D16" s="49">
        <v>8.1999999999999993</v>
      </c>
      <c r="E16" s="48">
        <f t="shared" si="0"/>
        <v>0.10000000000000142</v>
      </c>
      <c r="F16" s="49">
        <v>8.9</v>
      </c>
      <c r="G16" s="48">
        <f t="shared" si="1"/>
        <v>-0.59999999999999964</v>
      </c>
      <c r="H16" s="46"/>
    </row>
    <row r="17" spans="1:8" x14ac:dyDescent="0.2">
      <c r="A17" s="39">
        <v>15</v>
      </c>
      <c r="B17" s="47" t="s">
        <v>47</v>
      </c>
      <c r="C17" s="48">
        <v>9.4</v>
      </c>
      <c r="D17" s="49">
        <v>9.3000000000000007</v>
      </c>
      <c r="E17" s="48">
        <f t="shared" si="0"/>
        <v>9.9999999999999645E-2</v>
      </c>
      <c r="F17" s="49">
        <v>9.5</v>
      </c>
      <c r="G17" s="48">
        <f t="shared" si="1"/>
        <v>-9.9999999999999645E-2</v>
      </c>
      <c r="H17" s="46"/>
    </row>
    <row r="18" spans="1:8" x14ac:dyDescent="0.2">
      <c r="A18" s="39">
        <v>16</v>
      </c>
      <c r="B18" s="47" t="s">
        <v>48</v>
      </c>
      <c r="C18" s="48">
        <v>3.2</v>
      </c>
      <c r="D18" s="49">
        <v>3.1</v>
      </c>
      <c r="E18" s="48">
        <f t="shared" si="0"/>
        <v>0.10000000000000009</v>
      </c>
      <c r="F18" s="49">
        <v>3.3</v>
      </c>
      <c r="G18" s="48">
        <f t="shared" si="1"/>
        <v>-9.9999999999999645E-2</v>
      </c>
      <c r="H18" s="46"/>
    </row>
    <row r="19" spans="1:8" x14ac:dyDescent="0.2">
      <c r="A19" s="39">
        <v>17</v>
      </c>
      <c r="B19" s="47" t="s">
        <v>49</v>
      </c>
      <c r="C19" s="48">
        <v>7.1</v>
      </c>
      <c r="D19" s="49">
        <v>7.1</v>
      </c>
      <c r="E19" s="48">
        <f t="shared" si="0"/>
        <v>0</v>
      </c>
      <c r="F19" s="49">
        <v>7.5</v>
      </c>
      <c r="G19" s="48">
        <f t="shared" si="1"/>
        <v>-0.40000000000000036</v>
      </c>
      <c r="H19" s="46"/>
    </row>
    <row r="20" spans="1:8" ht="12.75" customHeight="1" x14ac:dyDescent="0.2">
      <c r="B20" s="81" t="s">
        <v>110</v>
      </c>
    </row>
    <row r="21" spans="1:8" ht="13.5" customHeight="1" x14ac:dyDescent="0.2">
      <c r="B21" s="81"/>
    </row>
    <row r="22" spans="1:8" x14ac:dyDescent="0.2">
      <c r="B22" s="82"/>
    </row>
  </sheetData>
  <sortState xmlns:xlrd2="http://schemas.microsoft.com/office/spreadsheetml/2017/richdata2" ref="B23:C39">
    <sortCondition descending="1" ref="C23:C39"/>
  </sortState>
  <printOptions horizontalCentered="1" verticalCentered="1"/>
  <pageMargins left="0" right="0" top="3.1496062992125991E-2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-0.249977111117893"/>
  </sheetPr>
  <dimension ref="A1:H23"/>
  <sheetViews>
    <sheetView zoomScale="80" zoomScaleNormal="80" workbookViewId="0">
      <selection activeCell="B1" sqref="B1"/>
    </sheetView>
  </sheetViews>
  <sheetFormatPr defaultRowHeight="14.25" x14ac:dyDescent="0.2"/>
  <cols>
    <col min="1" max="1" width="3.5703125" style="3" customWidth="1"/>
    <col min="2" max="2" width="8.140625" style="3" customWidth="1"/>
    <col min="3" max="3" width="28" style="3" customWidth="1"/>
    <col min="4" max="4" width="14.28515625" style="3" customWidth="1"/>
    <col min="5" max="5" width="13.28515625" style="3" customWidth="1"/>
    <col min="6" max="6" width="18.42578125" style="3" customWidth="1"/>
    <col min="7" max="7" width="13.140625" style="3" customWidth="1"/>
    <col min="8" max="8" width="16.710937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89</v>
      </c>
    </row>
    <row r="2" spans="1:8" ht="15" x14ac:dyDescent="0.2">
      <c r="C2" s="31"/>
      <c r="D2" s="32"/>
    </row>
    <row r="3" spans="1:8" ht="71.25" x14ac:dyDescent="0.2">
      <c r="B3" s="33" t="s">
        <v>88</v>
      </c>
      <c r="C3" s="5" t="str">
        <f>T('3_s.bezr.Polska'!B2)</f>
        <v>powiaty</v>
      </c>
      <c r="D3" s="5" t="str">
        <f>T('3_s.bezr.Polska'!C2)</f>
        <v>Stopa bezrobocia stan na 28 II '23 r. (w proc.)*</v>
      </c>
      <c r="E3" s="5" t="str">
        <f>T('3_s.bezr.Polska'!D2)</f>
        <v>Stopa bezrobocia stan na 31 I '23 r. (w proc.)*</v>
      </c>
      <c r="F3" s="41" t="str">
        <f>T('3_s.bezr.Polska'!E2)</f>
        <v>wzrost lub spadek do poprzedniego miesiąca (pkt. proc.)</v>
      </c>
      <c r="G3" s="5" t="str">
        <f>T('3_s.bezr.Polska'!F2)</f>
        <v>Stopa bezrobocia stan na 28 II '22 r. (w proc.)*</v>
      </c>
      <c r="H3" s="41" t="str">
        <f>T('3_s.bezr.Polska'!G2)</f>
        <v>wzrost lub spadek do analogicznego okresu ubr. (pkt. proc.)</v>
      </c>
    </row>
    <row r="4" spans="1:8" x14ac:dyDescent="0.2">
      <c r="A4" s="3">
        <v>1</v>
      </c>
      <c r="B4" s="10">
        <f>RANK('3_s.bezr.Polska'!C3,'3_s.bezr.Polska'!$C$3:'3_s.bezr.Polska'!$C$19,1)+COUNTIF('3_s.bezr.Polska'!$C$3:'3_s.bezr.Polska'!C3,'3_s.bezr.Polska'!C3)-1</f>
        <v>8</v>
      </c>
      <c r="C4" s="8" t="str">
        <f>INDEX('3_s.bezr.Polska'!B3:G19,MATCH(1,B4:B20,0),1)</f>
        <v>WIELKOPOLSKIE</v>
      </c>
      <c r="D4" s="46">
        <f>INDEX('3_s.bezr.Polska'!B3:G19,MATCH(1,B4:B20,0),2)</f>
        <v>3.2</v>
      </c>
      <c r="E4" s="50">
        <f>INDEX('3_s.bezr.Polska'!B3:G19,MATCH(1,B4:B20,0),3)</f>
        <v>3.1</v>
      </c>
      <c r="F4" s="49">
        <f>INDEX('3_s.bezr.Polska'!B3:G19,MATCH(1,B4:B20,0),4)</f>
        <v>0.10000000000000009</v>
      </c>
      <c r="G4" s="50">
        <f>INDEX('3_s.bezr.Polska'!B3:G19,MATCH(1,B4:B20,0),5)</f>
        <v>3.3</v>
      </c>
      <c r="H4" s="49">
        <f>INDEX('3_s.bezr.Polska'!B3:G19,MATCH(1,B4:B20,0),6)</f>
        <v>-9.9999999999999645E-2</v>
      </c>
    </row>
    <row r="5" spans="1:8" x14ac:dyDescent="0.2">
      <c r="A5" s="3">
        <v>2</v>
      </c>
      <c r="B5" s="10">
        <f>RANK('3_s.bezr.Polska'!C4,'3_s.bezr.Polska'!$C$3:'3_s.bezr.Polska'!$C$19,1)+COUNTIF('3_s.bezr.Polska'!$C$3:'3_s.bezr.Polska'!C4,'3_s.bezr.Polska'!C4)-1</f>
        <v>5</v>
      </c>
      <c r="C5" s="8" t="str">
        <f>INDEX('3_s.bezr.Polska'!B3:G19,MATCH(2,B4:B20,0),1)</f>
        <v>ŚLĄSKIE</v>
      </c>
      <c r="D5" s="12">
        <f>INDEX('3_s.bezr.Polska'!B3:G19,MATCH(2,B4:B20,0),2)</f>
        <v>3.9</v>
      </c>
      <c r="E5" s="50">
        <f>INDEX('3_s.bezr.Polska'!B3:G19,MATCH(2,B4:B20,0),3)</f>
        <v>3.9</v>
      </c>
      <c r="F5" s="49">
        <f>INDEX('3_s.bezr.Polska'!B3:G19,MATCH(2,B4:B20,0),4)</f>
        <v>0</v>
      </c>
      <c r="G5" s="50">
        <f>INDEX('3_s.bezr.Polska'!B3:G19,MATCH(2,B4:B20,0),5)</f>
        <v>4.4000000000000004</v>
      </c>
      <c r="H5" s="49">
        <f>INDEX('3_s.bezr.Polska'!B3:G19,MATCH(2,B4:B20,0),6)</f>
        <v>-0.50000000000000044</v>
      </c>
    </row>
    <row r="6" spans="1:8" x14ac:dyDescent="0.2">
      <c r="A6" s="3">
        <v>3</v>
      </c>
      <c r="B6" s="10">
        <f>RANK('3_s.bezr.Polska'!C5,'3_s.bezr.Polska'!$C$3:'3_s.bezr.Polska'!$C$19,1)+COUNTIF('3_s.bezr.Polska'!$C$3:'3_s.bezr.Polska'!C5,'3_s.bezr.Polska'!C5)-1</f>
        <v>13</v>
      </c>
      <c r="C6" s="8" t="str">
        <f>INDEX('3_s.bezr.Polska'!B3:G19,MATCH(3,B4:B20,0),1)</f>
        <v>MAZOWIECKIE</v>
      </c>
      <c r="D6" s="12">
        <f>INDEX('3_s.bezr.Polska'!B3:G19,MATCH(3,B4:B20,0),2)</f>
        <v>4.4000000000000004</v>
      </c>
      <c r="E6" s="50">
        <f>INDEX('3_s.bezr.Polska'!B3:G19,MATCH(3,B4:B20,0),3)</f>
        <v>4.4000000000000004</v>
      </c>
      <c r="F6" s="49">
        <f>INDEX('3_s.bezr.Polska'!B3:G19,MATCH(3,B4:B20,0),4)</f>
        <v>0</v>
      </c>
      <c r="G6" s="50">
        <f>INDEX('3_s.bezr.Polska'!B3:G19,MATCH(3,B4:B20,0),5)</f>
        <v>4.8</v>
      </c>
      <c r="H6" s="49">
        <f>INDEX('3_s.bezr.Polska'!B3:G19,MATCH(3,B4:B20,0),6)</f>
        <v>-0.39999999999999947</v>
      </c>
    </row>
    <row r="7" spans="1:8" x14ac:dyDescent="0.2">
      <c r="A7" s="3">
        <v>4</v>
      </c>
      <c r="B7" s="10">
        <f>RANK('3_s.bezr.Polska'!C6,'3_s.bezr.Polska'!$C$3:'3_s.bezr.Polska'!$C$19,1)+COUNTIF('3_s.bezr.Polska'!$C$3:'3_s.bezr.Polska'!C6,'3_s.bezr.Polska'!C6)-1</f>
        <v>15</v>
      </c>
      <c r="C7" s="8" t="str">
        <f>INDEX('3_s.bezr.Polska'!B3:G19,MATCH(4,B4:B20,0),1)</f>
        <v>LUBUSKIE</v>
      </c>
      <c r="D7" s="12">
        <f>INDEX('3_s.bezr.Polska'!B3:G19,MATCH(4,B4:B20,0),2)</f>
        <v>4.7</v>
      </c>
      <c r="E7" s="50">
        <f>INDEX('3_s.bezr.Polska'!B3:G19,MATCH(4,B4:B20,0),3)</f>
        <v>4.7</v>
      </c>
      <c r="F7" s="49">
        <f>INDEX('3_s.bezr.Polska'!B3:G19,MATCH(4,B4:B20,0),4)</f>
        <v>0</v>
      </c>
      <c r="G7" s="50">
        <f>INDEX('3_s.bezr.Polska'!B3:G19,MATCH(4,B4:B20,0),5)</f>
        <v>5.0999999999999996</v>
      </c>
      <c r="H7" s="49">
        <f>INDEX('3_s.bezr.Polska'!B3:G19,MATCH(4,B4:B20,0),6)</f>
        <v>-0.39999999999999947</v>
      </c>
    </row>
    <row r="8" spans="1:8" x14ac:dyDescent="0.2">
      <c r="A8" s="3">
        <v>5</v>
      </c>
      <c r="B8" s="10">
        <f>RANK('3_s.bezr.Polska'!C7,'3_s.bezr.Polska'!$C$3:'3_s.bezr.Polska'!$C$19,1)+COUNTIF('3_s.bezr.Polska'!$C$3:'3_s.bezr.Polska'!C7,'3_s.bezr.Polska'!C7)-1</f>
        <v>4</v>
      </c>
      <c r="C8" s="8" t="str">
        <f>INDEX('3_s.bezr.Polska'!B3:G19,MATCH(5,B4:B20,0),1)</f>
        <v>DOLNOŚLĄSKIE</v>
      </c>
      <c r="D8" s="12">
        <f>INDEX('3_s.bezr.Polska'!B3:G19,MATCH(5,B4:B20,0),2)</f>
        <v>4.8</v>
      </c>
      <c r="E8" s="50">
        <f>INDEX('3_s.bezr.Polska'!B3:G19,MATCH(5,B4:B20,0),3)</f>
        <v>4.7</v>
      </c>
      <c r="F8" s="49">
        <f>INDEX('3_s.bezr.Polska'!B3:G19,MATCH(5,B4:B20,0),4)</f>
        <v>9.9999999999999645E-2</v>
      </c>
      <c r="G8" s="50">
        <f>INDEX('3_s.bezr.Polska'!B3:G19,MATCH(5,B4:B20,0),5)</f>
        <v>5</v>
      </c>
      <c r="H8" s="49">
        <f>INDEX('3_s.bezr.Polska'!B3:G19,MATCH(5,B4:B20,0),6)</f>
        <v>-0.20000000000000018</v>
      </c>
    </row>
    <row r="9" spans="1:8" x14ac:dyDescent="0.2">
      <c r="A9" s="3">
        <v>6</v>
      </c>
      <c r="B9" s="10">
        <f>RANK('3_s.bezr.Polska'!C8,'3_s.bezr.Polska'!$C$3:'3_s.bezr.Polska'!$C$19,1)+COUNTIF('3_s.bezr.Polska'!$C$3:'3_s.bezr.Polska'!C8,'3_s.bezr.Polska'!C8)-1</f>
        <v>9</v>
      </c>
      <c r="C9" s="8" t="str">
        <f>INDEX('3_s.bezr.Polska'!B3:G19,MATCH(6,B4:B20,0),1)</f>
        <v>MAŁOPOLSKIE</v>
      </c>
      <c r="D9" s="12">
        <f>INDEX('3_s.bezr.Polska'!B3:G19,MATCH(6,B4:B20,0),2)</f>
        <v>4.9000000000000004</v>
      </c>
      <c r="E9" s="50">
        <f>INDEX('3_s.bezr.Polska'!B3:G19,MATCH(6,B4:B20,0),3)</f>
        <v>4.8</v>
      </c>
      <c r="F9" s="49">
        <f>INDEX('3_s.bezr.Polska'!B3:G19,MATCH(6,B4:B20,0),4)</f>
        <v>0.10000000000000053</v>
      </c>
      <c r="G9" s="50">
        <f>INDEX('3_s.bezr.Polska'!B3:G19,MATCH(6,B4:B20,0),5)</f>
        <v>5.0999999999999996</v>
      </c>
      <c r="H9" s="49">
        <f>INDEX('3_s.bezr.Polska'!B3:G19,MATCH(6,B4:B20,0),6)</f>
        <v>-0.19999999999999929</v>
      </c>
    </row>
    <row r="10" spans="1:8" x14ac:dyDescent="0.2">
      <c r="A10" s="3">
        <v>7</v>
      </c>
      <c r="B10" s="10">
        <f>RANK('3_s.bezr.Polska'!C9,'3_s.bezr.Polska'!$C$3:'3_s.bezr.Polska'!$C$19,1)+COUNTIF('3_s.bezr.Polska'!$C$3:'3_s.bezr.Polska'!C9,'3_s.bezr.Polska'!C9)-1</f>
        <v>6</v>
      </c>
      <c r="C10" s="13" t="str">
        <f>INDEX('3_s.bezr.Polska'!B3:G19,MATCH(7,B4:B20,0),1)</f>
        <v>POMORSKIE</v>
      </c>
      <c r="D10" s="12">
        <f>INDEX('3_s.bezr.Polska'!B3:G19,MATCH(7,B4:B20,0),2)</f>
        <v>5</v>
      </c>
      <c r="E10" s="50">
        <f>INDEX('3_s.bezr.Polska'!B3:G19,MATCH(7,B4:B20,0),3)</f>
        <v>4.9000000000000004</v>
      </c>
      <c r="F10" s="49">
        <f>INDEX('3_s.bezr.Polska'!B3:G19,MATCH(7,B4:B20,0),4)</f>
        <v>9.9999999999999645E-2</v>
      </c>
      <c r="G10" s="50">
        <f>INDEX('3_s.bezr.Polska'!B3:G19,MATCH(7,B4:B20,0),5)</f>
        <v>5.3</v>
      </c>
      <c r="H10" s="49">
        <f>INDEX('3_s.bezr.Polska'!B3:G19,MATCH(7,B4:B20,0),6)</f>
        <v>-0.29999999999999982</v>
      </c>
    </row>
    <row r="11" spans="1:8" ht="15" x14ac:dyDescent="0.25">
      <c r="A11" s="3">
        <v>8</v>
      </c>
      <c r="B11" s="34">
        <f>RANK('3_s.bezr.Polska'!C10,'3_s.bezr.Polska'!$C$3:'3_s.bezr.Polska'!$C$19,1)+COUNTIF('3_s.bezr.Polska'!$C$3:'3_s.bezr.Polska'!C10,'3_s.bezr.Polska'!C10)-1</f>
        <v>3</v>
      </c>
      <c r="C11" s="69" t="str">
        <f>INDEX('3_s.bezr.Polska'!B3:G19,MATCH(8,B4:B20,0),1)</f>
        <v>POLSKA</v>
      </c>
      <c r="D11" s="61">
        <f>INDEX('3_s.bezr.Polska'!B3:G19,MATCH(8,B4:B20,0),2)</f>
        <v>5.5</v>
      </c>
      <c r="E11" s="80">
        <f>INDEX('3_s.bezr.Polska'!B3:G19,MATCH(8,B4:B20,0),3)</f>
        <v>5.5</v>
      </c>
      <c r="F11" s="45">
        <f>INDEX('3_s.bezr.Polska'!B3:G19,MATCH(8,B4:B20,0),4)</f>
        <v>0</v>
      </c>
      <c r="G11" s="80">
        <f>INDEX('3_s.bezr.Polska'!B3:G19,MATCH(8,B4:B20,0),5)</f>
        <v>5.9</v>
      </c>
      <c r="H11" s="45">
        <f>INDEX('3_s.bezr.Polska'!B3:G19,MATCH(8,B4:B20,0),6)</f>
        <v>-0.40000000000000036</v>
      </c>
    </row>
    <row r="12" spans="1:8" x14ac:dyDescent="0.2">
      <c r="A12" s="3">
        <v>9</v>
      </c>
      <c r="B12" s="10">
        <f>RANK('3_s.bezr.Polska'!C11,'3_s.bezr.Polska'!$C$3:'3_s.bezr.Polska'!$C$19,1)+COUNTIF('3_s.bezr.Polska'!$C$3:'3_s.bezr.Polska'!C11,'3_s.bezr.Polska'!C11)-1</f>
        <v>10</v>
      </c>
      <c r="C12" s="8" t="str">
        <f>INDEX('3_s.bezr.Polska'!B3:G19,MATCH(9,B4:B20,0),1)</f>
        <v>ŁÓDZKIE</v>
      </c>
      <c r="D12" s="12">
        <f>INDEX('3_s.bezr.Polska'!B3:G19,MATCH(9,B4:B20,0),2)</f>
        <v>5.8</v>
      </c>
      <c r="E12" s="50">
        <f>INDEX('3_s.bezr.Polska'!B3:G19,MATCH(9,B4:B20,0),3)</f>
        <v>5.7</v>
      </c>
      <c r="F12" s="49">
        <f>INDEX('3_s.bezr.Polska'!B3:G19,MATCH(9,B4:B20,0),4)</f>
        <v>9.9999999999999645E-2</v>
      </c>
      <c r="G12" s="50">
        <f>INDEX('3_s.bezr.Polska'!B3:G19,MATCH(9,B4:B20,0),5)</f>
        <v>6.2</v>
      </c>
      <c r="H12" s="49">
        <f>INDEX('3_s.bezr.Polska'!B3:G19,MATCH(9,B4:B20,0),6)</f>
        <v>-0.40000000000000036</v>
      </c>
    </row>
    <row r="13" spans="1:8" x14ac:dyDescent="0.2">
      <c r="A13" s="3">
        <v>10</v>
      </c>
      <c r="B13" s="10">
        <f>RANK('3_s.bezr.Polska'!C12,'3_s.bezr.Polska'!$C$3:'3_s.bezr.Polska'!$C$19,1)+COUNTIF('3_s.bezr.Polska'!$C$3:'3_s.bezr.Polska'!C12,'3_s.bezr.Polska'!C12)-1</f>
        <v>16</v>
      </c>
      <c r="C13" s="8" t="str">
        <f>INDEX('3_s.bezr.Polska'!B3:G19,MATCH(10,B4:B20,0),1)</f>
        <v>OPOLSKIE</v>
      </c>
      <c r="D13" s="12">
        <f>INDEX('3_s.bezr.Polska'!B3:G19,MATCH(10,B4:B20,0),2)</f>
        <v>6.5</v>
      </c>
      <c r="E13" s="50">
        <f>INDEX('3_s.bezr.Polska'!B3:G19,MATCH(10,B4:B20,0),3)</f>
        <v>6.4</v>
      </c>
      <c r="F13" s="49">
        <f>INDEX('3_s.bezr.Polska'!B3:G19,MATCH(10,B4:B20,0),4)</f>
        <v>9.9999999999999645E-2</v>
      </c>
      <c r="G13" s="50">
        <f>INDEX('3_s.bezr.Polska'!B3:G19,MATCH(10,B4:B20,0),5)</f>
        <v>6.5</v>
      </c>
      <c r="H13" s="49">
        <f>INDEX('3_s.bezr.Polska'!B3:G19,MATCH(10,B4:B20,0),6)</f>
        <v>0</v>
      </c>
    </row>
    <row r="14" spans="1:8" x14ac:dyDescent="0.2">
      <c r="A14" s="3">
        <v>11</v>
      </c>
      <c r="B14" s="10">
        <f>RANK('3_s.bezr.Polska'!C13,'3_s.bezr.Polska'!$C$3:'3_s.bezr.Polska'!$C$19,1)+COUNTIF('3_s.bezr.Polska'!$C$3:'3_s.bezr.Polska'!C13,'3_s.bezr.Polska'!C13)-1</f>
        <v>12</v>
      </c>
      <c r="C14" s="8" t="str">
        <f>INDEX('3_s.bezr.Polska'!B3:G19,MATCH(11,B4:B20,0),1)</f>
        <v>ZACHODNIOPOMORSKIE</v>
      </c>
      <c r="D14" s="12">
        <f>INDEX('3_s.bezr.Polska'!B3:G19,MATCH(11,B4:B20,0),2)</f>
        <v>7.1</v>
      </c>
      <c r="E14" s="50">
        <f>INDEX('3_s.bezr.Polska'!B3:G19,MATCH(11,B4:B20,0),3)</f>
        <v>7.1</v>
      </c>
      <c r="F14" s="49">
        <f>INDEX('3_s.bezr.Polska'!B3:G19,MATCH(11,B4:B20,0),4)</f>
        <v>0</v>
      </c>
      <c r="G14" s="50">
        <f>INDEX('3_s.bezr.Polska'!B3:G19,MATCH(11,B4:B20,0),5)</f>
        <v>7.5</v>
      </c>
      <c r="H14" s="49">
        <f>INDEX('3_s.bezr.Polska'!B3:G19,MATCH(11,B4:B20,0),6)</f>
        <v>-0.40000000000000036</v>
      </c>
    </row>
    <row r="15" spans="1:8" x14ac:dyDescent="0.2">
      <c r="A15" s="3">
        <v>12</v>
      </c>
      <c r="B15" s="10">
        <f>RANK('3_s.bezr.Polska'!C14,'3_s.bezr.Polska'!$C$3:'3_s.bezr.Polska'!$C$19,1)+COUNTIF('3_s.bezr.Polska'!$C$3:'3_s.bezr.Polska'!C14,'3_s.bezr.Polska'!C14)-1</f>
        <v>7</v>
      </c>
      <c r="C15" s="8" t="str">
        <f>INDEX('3_s.bezr.Polska'!B3:G19,MATCH(12,B4:B20,0),1)</f>
        <v>PODLASKIE</v>
      </c>
      <c r="D15" s="12">
        <f>INDEX('3_s.bezr.Polska'!B3:G19,MATCH(12,B4:B20,0),2)</f>
        <v>7.6</v>
      </c>
      <c r="E15" s="50">
        <f>INDEX('3_s.bezr.Polska'!B3:G19,MATCH(12,B4:B20,0),3)</f>
        <v>7.6</v>
      </c>
      <c r="F15" s="49">
        <f>INDEX('3_s.bezr.Polska'!B3:G19,MATCH(12,B4:B20,0),4)</f>
        <v>0</v>
      </c>
      <c r="G15" s="50">
        <f>INDEX('3_s.bezr.Polska'!B3:G19,MATCH(12,B4:B20,0),5)</f>
        <v>8</v>
      </c>
      <c r="H15" s="49">
        <f>INDEX('3_s.bezr.Polska'!B3:G19,MATCH(12,B4:B20,0),6)</f>
        <v>-0.40000000000000036</v>
      </c>
    </row>
    <row r="16" spans="1:8" x14ac:dyDescent="0.2">
      <c r="A16" s="3">
        <v>13</v>
      </c>
      <c r="B16" s="10">
        <f>RANK('3_s.bezr.Polska'!C15,'3_s.bezr.Polska'!$C$3:'3_s.bezr.Polska'!$C$19,1)+COUNTIF('3_s.bezr.Polska'!$C$3:'3_s.bezr.Polska'!C15,'3_s.bezr.Polska'!C15)-1</f>
        <v>2</v>
      </c>
      <c r="C16" s="8" t="str">
        <f>INDEX('3_s.bezr.Polska'!B3:G19,MATCH(13,B4:B20,0),1)</f>
        <v>KUJAWSKO-POMORSKIE</v>
      </c>
      <c r="D16" s="12">
        <f>INDEX('3_s.bezr.Polska'!B3:G19,MATCH(13,B4:B20,0),2)</f>
        <v>7.8</v>
      </c>
      <c r="E16" s="50">
        <f>INDEX('3_s.bezr.Polska'!B3:G19,MATCH(13,B4:B20,0),3)</f>
        <v>7.8</v>
      </c>
      <c r="F16" s="49">
        <f>INDEX('3_s.bezr.Polska'!B3:G19,MATCH(13,B4:B20,0),4)</f>
        <v>0</v>
      </c>
      <c r="G16" s="50">
        <f>INDEX('3_s.bezr.Polska'!B3:G19,MATCH(13,B4:B20,0),5)</f>
        <v>8.1999999999999993</v>
      </c>
      <c r="H16" s="49">
        <f>INDEX('3_s.bezr.Polska'!B3:G19,MATCH(13,B4:B20,0),6)</f>
        <v>-0.39999999999999947</v>
      </c>
    </row>
    <row r="17" spans="1:8" x14ac:dyDescent="0.2">
      <c r="A17" s="3">
        <v>14</v>
      </c>
      <c r="B17" s="10">
        <f>RANK('3_s.bezr.Polska'!C16,'3_s.bezr.Polska'!$C$3:'3_s.bezr.Polska'!$C$19,1)+COUNTIF('3_s.bezr.Polska'!$C$3:'3_s.bezr.Polska'!C16,'3_s.bezr.Polska'!C16)-1</f>
        <v>14</v>
      </c>
      <c r="C17" s="8" t="str">
        <f>INDEX('3_s.bezr.Polska'!B3:G19,MATCH(14,B4:B20,0),1)</f>
        <v>ŚWIĘTOKRZYSKIE</v>
      </c>
      <c r="D17" s="12">
        <f>INDEX('3_s.bezr.Polska'!B3:G19,MATCH(14,B4:B20,0),2)</f>
        <v>8.3000000000000007</v>
      </c>
      <c r="E17" s="50">
        <f>INDEX('3_s.bezr.Polska'!B3:G19,MATCH(14,B4:B20,0),3)</f>
        <v>8.1999999999999993</v>
      </c>
      <c r="F17" s="49">
        <f>INDEX('3_s.bezr.Polska'!B3:G19,MATCH(14,B4:B20,0),4)</f>
        <v>0.10000000000000142</v>
      </c>
      <c r="G17" s="50">
        <f>INDEX('3_s.bezr.Polska'!B3:G19,MATCH(14,B4:B20,0),5)</f>
        <v>8.9</v>
      </c>
      <c r="H17" s="49">
        <f>INDEX('3_s.bezr.Polska'!B3:G19,MATCH(14,B4:B20,0),6)</f>
        <v>-0.59999999999999964</v>
      </c>
    </row>
    <row r="18" spans="1:8" x14ac:dyDescent="0.2">
      <c r="A18" s="3">
        <v>15</v>
      </c>
      <c r="B18" s="10">
        <f>RANK('3_s.bezr.Polska'!C17,'3_s.bezr.Polska'!$C$3:'3_s.bezr.Polska'!$C$19,1)+COUNTIF('3_s.bezr.Polska'!$C$3:'3_s.bezr.Polska'!C17,'3_s.bezr.Polska'!C17)-1</f>
        <v>17</v>
      </c>
      <c r="C18" s="8" t="str">
        <f>INDEX('3_s.bezr.Polska'!B3:G19,MATCH(15,B4:B20,0),1)</f>
        <v>LUBELSKIE</v>
      </c>
      <c r="D18" s="12">
        <f>INDEX('3_s.bezr.Polska'!B3:G19,MATCH(15,B4:B20,0),2)</f>
        <v>8.4</v>
      </c>
      <c r="E18" s="50">
        <f>INDEX('3_s.bezr.Polska'!B3:G19,MATCH(15,B4:B20,0),3)</f>
        <v>8.4</v>
      </c>
      <c r="F18" s="49">
        <f>INDEX('3_s.bezr.Polska'!B3:G19,MATCH(15,B4:B20,0),4)</f>
        <v>0</v>
      </c>
      <c r="G18" s="50">
        <f>INDEX('3_s.bezr.Polska'!B3:G19,MATCH(15,B4:B20,0),5)</f>
        <v>9</v>
      </c>
      <c r="H18" s="49">
        <f>INDEX('3_s.bezr.Polska'!B3:G19,MATCH(15,B4:B20,0),6)</f>
        <v>-0.59999999999999964</v>
      </c>
    </row>
    <row r="19" spans="1:8" x14ac:dyDescent="0.2">
      <c r="A19" s="3">
        <v>16</v>
      </c>
      <c r="B19" s="10">
        <f>RANK('3_s.bezr.Polska'!C18,'3_s.bezr.Polska'!$C$3:'3_s.bezr.Polska'!$C$19,1)+COUNTIF('3_s.bezr.Polska'!$C$3:'3_s.bezr.Polska'!C18,'3_s.bezr.Polska'!C18)-1</f>
        <v>1</v>
      </c>
      <c r="C19" s="8" t="str">
        <f>INDEX('3_s.bezr.Polska'!B3:G19,MATCH(16,B4:B20,0),1)</f>
        <v>PODKARPACKIE</v>
      </c>
      <c r="D19" s="12">
        <f>INDEX('3_s.bezr.Polska'!B3:G19,MATCH(16,B4:B20,0),2)</f>
        <v>9.1999999999999993</v>
      </c>
      <c r="E19" s="50">
        <f>INDEX('3_s.bezr.Polska'!B3:G19,MATCH(16,B4:B20,0),3)</f>
        <v>9.1999999999999993</v>
      </c>
      <c r="F19" s="49">
        <f>INDEX('3_s.bezr.Polska'!B3:G19,MATCH(16,B4:B20,0),4)</f>
        <v>0</v>
      </c>
      <c r="G19" s="50">
        <f>INDEX('3_s.bezr.Polska'!B3:G19,MATCH(16,B4:B20,0),5)</f>
        <v>10</v>
      </c>
      <c r="H19" s="49">
        <f>INDEX('3_s.bezr.Polska'!B3:G19,MATCH(16,B4:B20,0),6)</f>
        <v>-0.80000000000000071</v>
      </c>
    </row>
    <row r="20" spans="1:8" x14ac:dyDescent="0.2">
      <c r="A20" s="3">
        <v>17</v>
      </c>
      <c r="B20" s="10">
        <f>RANK('3_s.bezr.Polska'!C19,'3_s.bezr.Polska'!$C$3:'3_s.bezr.Polska'!$C$19,1)+COUNTIF('3_s.bezr.Polska'!$C$3:'3_s.bezr.Polska'!C19,'3_s.bezr.Polska'!C19)-1</f>
        <v>11</v>
      </c>
      <c r="C20" s="13" t="str">
        <f>INDEX('3_s.bezr.Polska'!B3:G19,MATCH(17,B4:B20,0),1)</f>
        <v>WARMIŃSKO-MAZURSKIE</v>
      </c>
      <c r="D20" s="12">
        <f>INDEX('3_s.bezr.Polska'!B3:G19,MATCH(17,B4:B20,0),2)</f>
        <v>9.4</v>
      </c>
      <c r="E20" s="50">
        <f>INDEX('3_s.bezr.Polska'!B3:G19,MATCH(17,B4:B20,0),3)</f>
        <v>9.3000000000000007</v>
      </c>
      <c r="F20" s="49">
        <f>INDEX('3_s.bezr.Polska'!B3:G19,MATCH(17,B4:B20,0),4)</f>
        <v>9.9999999999999645E-2</v>
      </c>
      <c r="G20" s="50">
        <f>INDEX('3_s.bezr.Polska'!B3:G19,MATCH(17,B4:B20,0),5)</f>
        <v>9.5</v>
      </c>
      <c r="H20" s="49">
        <f>INDEX('3_s.bezr.Polska'!B3:G19,MATCH(17,B4:B20,0),6)</f>
        <v>-9.9999999999999645E-2</v>
      </c>
    </row>
    <row r="21" spans="1:8" x14ac:dyDescent="0.2">
      <c r="B21" s="81" t="s">
        <v>110</v>
      </c>
    </row>
    <row r="22" spans="1:8" x14ac:dyDescent="0.2">
      <c r="B22" s="81"/>
    </row>
    <row r="23" spans="1:8" x14ac:dyDescent="0.2">
      <c r="B23" s="82"/>
    </row>
  </sheetData>
  <pageMargins left="0" right="0" top="0.31496062992125984" bottom="0" header="0" footer="0"/>
  <pageSetup paperSize="9" scale="7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  <pageSetUpPr fitToPage="1"/>
  </sheetPr>
  <dimension ref="A1:H31"/>
  <sheetViews>
    <sheetView zoomScale="80" zoomScaleNormal="80" workbookViewId="0">
      <selection activeCell="B1" sqref="B1"/>
    </sheetView>
  </sheetViews>
  <sheetFormatPr defaultRowHeight="14.25" x14ac:dyDescent="0.2"/>
  <cols>
    <col min="1" max="1" width="4.42578125" style="39" customWidth="1"/>
    <col min="2" max="2" width="31.5703125" style="3" customWidth="1"/>
    <col min="3" max="3" width="14.5703125" style="3" customWidth="1"/>
    <col min="4" max="4" width="16" style="3" customWidth="1"/>
    <col min="5" max="5" width="16.28515625" style="3" customWidth="1"/>
    <col min="6" max="6" width="15.5703125" style="3" customWidth="1"/>
    <col min="7" max="7" width="17.140625" style="3" customWidth="1"/>
    <col min="8" max="8" width="2.42578125" style="3" customWidth="1"/>
    <col min="9" max="9" width="10.140625" style="3" customWidth="1"/>
    <col min="10" max="16384" width="9.140625" style="3"/>
  </cols>
  <sheetData>
    <row r="1" spans="1:8" ht="16.5" customHeight="1" x14ac:dyDescent="0.2">
      <c r="B1" s="2" t="s">
        <v>90</v>
      </c>
    </row>
    <row r="2" spans="1:8" ht="71.25" x14ac:dyDescent="0.2">
      <c r="B2" s="6" t="s">
        <v>27</v>
      </c>
      <c r="C2" s="6" t="s">
        <v>118</v>
      </c>
      <c r="D2" s="7" t="s">
        <v>117</v>
      </c>
      <c r="E2" s="6" t="s">
        <v>75</v>
      </c>
      <c r="F2" s="7" t="s">
        <v>119</v>
      </c>
      <c r="G2" s="6" t="s">
        <v>76</v>
      </c>
    </row>
    <row r="3" spans="1:8" ht="15" x14ac:dyDescent="0.2">
      <c r="A3" s="39">
        <v>1</v>
      </c>
      <c r="B3" s="51" t="s">
        <v>33</v>
      </c>
      <c r="C3" s="52">
        <v>5.5</v>
      </c>
      <c r="D3" s="53">
        <v>5.5</v>
      </c>
      <c r="E3" s="54">
        <f>($C$3)-$D$3</f>
        <v>0</v>
      </c>
      <c r="F3" s="53">
        <v>5.9</v>
      </c>
      <c r="G3" s="52">
        <f>($C$3)-$F$3</f>
        <v>-0.40000000000000036</v>
      </c>
      <c r="H3" s="39"/>
    </row>
    <row r="4" spans="1:8" ht="15" x14ac:dyDescent="0.25">
      <c r="A4" s="39">
        <v>2</v>
      </c>
      <c r="B4" s="55" t="s">
        <v>42</v>
      </c>
      <c r="C4" s="56">
        <v>9.1999999999999993</v>
      </c>
      <c r="D4" s="53">
        <v>9.1999999999999993</v>
      </c>
      <c r="E4" s="56">
        <f>($C$4)-$D$4</f>
        <v>0</v>
      </c>
      <c r="F4" s="53">
        <v>10</v>
      </c>
      <c r="G4" s="56">
        <f>($C$4)-$F$4</f>
        <v>-0.80000000000000071</v>
      </c>
      <c r="H4" s="39"/>
    </row>
    <row r="5" spans="1:8" x14ac:dyDescent="0.2">
      <c r="A5" s="39">
        <v>3</v>
      </c>
      <c r="B5" s="47" t="s">
        <v>50</v>
      </c>
      <c r="C5" s="48">
        <v>17</v>
      </c>
      <c r="D5" s="57">
        <v>17.100000000000001</v>
      </c>
      <c r="E5" s="12">
        <f>($C$5)-$D$5</f>
        <v>-0.10000000000000142</v>
      </c>
      <c r="F5" s="57">
        <v>17.3</v>
      </c>
      <c r="G5" s="12">
        <f>($C$5)-$F$5</f>
        <v>-0.30000000000000071</v>
      </c>
      <c r="H5" s="39"/>
    </row>
    <row r="6" spans="1:8" x14ac:dyDescent="0.2">
      <c r="A6" s="39">
        <v>4</v>
      </c>
      <c r="B6" s="47" t="s">
        <v>51</v>
      </c>
      <c r="C6" s="48">
        <v>21.5</v>
      </c>
      <c r="D6" s="57">
        <v>21.5</v>
      </c>
      <c r="E6" s="12">
        <f>($C$6)-$D$6</f>
        <v>0</v>
      </c>
      <c r="F6" s="57">
        <v>22.4</v>
      </c>
      <c r="G6" s="12">
        <f>($C$6)-$F$6</f>
        <v>-0.89999999999999858</v>
      </c>
      <c r="H6" s="39"/>
    </row>
    <row r="7" spans="1:8" x14ac:dyDescent="0.2">
      <c r="A7" s="39">
        <v>5</v>
      </c>
      <c r="B7" s="47" t="s">
        <v>52</v>
      </c>
      <c r="C7" s="48">
        <v>5.0999999999999996</v>
      </c>
      <c r="D7" s="57">
        <v>5.0999999999999996</v>
      </c>
      <c r="E7" s="12">
        <f>($C$7)-$D$7</f>
        <v>0</v>
      </c>
      <c r="F7" s="57">
        <v>5.4</v>
      </c>
      <c r="G7" s="12">
        <f>($C$7)-$F$7</f>
        <v>-0.30000000000000071</v>
      </c>
      <c r="H7" s="39"/>
    </row>
    <row r="8" spans="1:8" x14ac:dyDescent="0.2">
      <c r="A8" s="39">
        <v>6</v>
      </c>
      <c r="B8" s="47" t="s">
        <v>53</v>
      </c>
      <c r="C8" s="48">
        <v>12</v>
      </c>
      <c r="D8" s="57">
        <v>12</v>
      </c>
      <c r="E8" s="12">
        <f>($C$8)-$D$8</f>
        <v>0</v>
      </c>
      <c r="F8" s="57">
        <v>13.5</v>
      </c>
      <c r="G8" s="12">
        <f>($C$8)-$F$8</f>
        <v>-1.5</v>
      </c>
      <c r="H8" s="39"/>
    </row>
    <row r="9" spans="1:8" x14ac:dyDescent="0.2">
      <c r="A9" s="39">
        <v>7</v>
      </c>
      <c r="B9" s="47" t="s">
        <v>54</v>
      </c>
      <c r="C9" s="48">
        <v>13.4</v>
      </c>
      <c r="D9" s="57">
        <v>13.4</v>
      </c>
      <c r="E9" s="12">
        <f>($C$9)-$D$9</f>
        <v>0</v>
      </c>
      <c r="F9" s="57">
        <v>14.2</v>
      </c>
      <c r="G9" s="12">
        <f>($C$9)-$F$9</f>
        <v>-0.79999999999999893</v>
      </c>
      <c r="H9" s="39"/>
    </row>
    <row r="10" spans="1:8" x14ac:dyDescent="0.2">
      <c r="A10" s="39">
        <v>8</v>
      </c>
      <c r="B10" s="47" t="s">
        <v>55</v>
      </c>
      <c r="C10" s="48">
        <v>9.1</v>
      </c>
      <c r="D10" s="57">
        <v>9</v>
      </c>
      <c r="E10" s="12">
        <f>($C$10)-$D$10</f>
        <v>9.9999999999999645E-2</v>
      </c>
      <c r="F10" s="57">
        <v>9.8000000000000007</v>
      </c>
      <c r="G10" s="12">
        <f>($C$10)-$F$10</f>
        <v>-0.70000000000000107</v>
      </c>
      <c r="H10" s="39"/>
    </row>
    <row r="11" spans="1:8" x14ac:dyDescent="0.2">
      <c r="A11" s="39">
        <v>9</v>
      </c>
      <c r="B11" s="47" t="s">
        <v>56</v>
      </c>
      <c r="C11" s="48">
        <v>8.5</v>
      </c>
      <c r="D11" s="57">
        <v>8.3000000000000007</v>
      </c>
      <c r="E11" s="12">
        <f>($C$11)-$D$11</f>
        <v>0.19999999999999929</v>
      </c>
      <c r="F11" s="57">
        <v>8.1999999999999993</v>
      </c>
      <c r="G11" s="12">
        <f>($C$11)-$F$11</f>
        <v>0.30000000000000071</v>
      </c>
      <c r="H11" s="39"/>
    </row>
    <row r="12" spans="1:8" ht="15" x14ac:dyDescent="0.25">
      <c r="A12" s="39">
        <v>10</v>
      </c>
      <c r="B12" s="58" t="s">
        <v>57</v>
      </c>
      <c r="C12" s="59">
        <v>20</v>
      </c>
      <c r="D12" s="60">
        <v>20</v>
      </c>
      <c r="E12" s="61">
        <f>($C$12)-$D$12</f>
        <v>0</v>
      </c>
      <c r="F12" s="60">
        <v>19.7</v>
      </c>
      <c r="G12" s="61">
        <f>($C$12)-$F$12</f>
        <v>0.30000000000000071</v>
      </c>
      <c r="H12" s="46"/>
    </row>
    <row r="13" spans="1:8" x14ac:dyDescent="0.2">
      <c r="A13" s="39">
        <v>11</v>
      </c>
      <c r="B13" s="47" t="s">
        <v>58</v>
      </c>
      <c r="C13" s="48">
        <v>15.8</v>
      </c>
      <c r="D13" s="57">
        <v>15.8</v>
      </c>
      <c r="E13" s="12">
        <f>($C$13)-$D$13</f>
        <v>0</v>
      </c>
      <c r="F13" s="57">
        <v>17.5</v>
      </c>
      <c r="G13" s="12">
        <f>($C$13)-$F$13</f>
        <v>-1.6999999999999993</v>
      </c>
      <c r="H13" s="39"/>
    </row>
    <row r="14" spans="1:8" x14ac:dyDescent="0.2">
      <c r="A14" s="39">
        <v>12</v>
      </c>
      <c r="B14" s="47" t="s">
        <v>59</v>
      </c>
      <c r="C14" s="48">
        <v>11.8</v>
      </c>
      <c r="D14" s="57">
        <v>12</v>
      </c>
      <c r="E14" s="12">
        <f>($C$14)-$D$14</f>
        <v>-0.19999999999999929</v>
      </c>
      <c r="F14" s="57">
        <v>12.6</v>
      </c>
      <c r="G14" s="12">
        <f>($C$14)-$F$14</f>
        <v>-0.79999999999999893</v>
      </c>
      <c r="H14" s="39"/>
    </row>
    <row r="15" spans="1:8" x14ac:dyDescent="0.2">
      <c r="A15" s="39">
        <v>13</v>
      </c>
      <c r="B15" s="47" t="s">
        <v>60</v>
      </c>
      <c r="C15" s="48">
        <v>10.6</v>
      </c>
      <c r="D15" s="57">
        <v>10.6</v>
      </c>
      <c r="E15" s="12">
        <f>($C$15)-$D$15</f>
        <v>0</v>
      </c>
      <c r="F15" s="57">
        <v>12.6</v>
      </c>
      <c r="G15" s="12">
        <f>($C$15)-$F$15</f>
        <v>-2</v>
      </c>
      <c r="H15" s="39"/>
    </row>
    <row r="16" spans="1:8" x14ac:dyDescent="0.2">
      <c r="A16" s="39">
        <v>14</v>
      </c>
      <c r="B16" s="47" t="s">
        <v>61</v>
      </c>
      <c r="C16" s="48">
        <v>4.8</v>
      </c>
      <c r="D16" s="57">
        <v>4.7</v>
      </c>
      <c r="E16" s="12">
        <f>($C$16)-$D$16</f>
        <v>9.9999999999999645E-2</v>
      </c>
      <c r="F16" s="57">
        <v>5</v>
      </c>
      <c r="G16" s="12">
        <f>($C$16)-$F$16</f>
        <v>-0.20000000000000018</v>
      </c>
      <c r="H16" s="39"/>
    </row>
    <row r="17" spans="1:8" x14ac:dyDescent="0.2">
      <c r="A17" s="39">
        <v>15</v>
      </c>
      <c r="B17" s="47" t="s">
        <v>62</v>
      </c>
      <c r="C17" s="48">
        <v>18.100000000000001</v>
      </c>
      <c r="D17" s="57">
        <v>18.399999999999999</v>
      </c>
      <c r="E17" s="12">
        <f>($C$17)-$D$17</f>
        <v>-0.29999999999999716</v>
      </c>
      <c r="F17" s="57">
        <v>18.899999999999999</v>
      </c>
      <c r="G17" s="12">
        <f>($C$17)-$F$17</f>
        <v>-0.79999999999999716</v>
      </c>
      <c r="H17" s="39"/>
    </row>
    <row r="18" spans="1:8" x14ac:dyDescent="0.2">
      <c r="A18" s="39">
        <v>16</v>
      </c>
      <c r="B18" s="47" t="s">
        <v>63</v>
      </c>
      <c r="C18" s="48">
        <v>17.899999999999999</v>
      </c>
      <c r="D18" s="57">
        <v>18.2</v>
      </c>
      <c r="E18" s="12">
        <f>($C$18)-$D$18</f>
        <v>-0.30000000000000071</v>
      </c>
      <c r="F18" s="57">
        <v>20.399999999999999</v>
      </c>
      <c r="G18" s="12">
        <f>($C$18)-$F$18</f>
        <v>-2.5</v>
      </c>
      <c r="H18" s="39"/>
    </row>
    <row r="19" spans="1:8" x14ac:dyDescent="0.2">
      <c r="A19" s="39">
        <v>17</v>
      </c>
      <c r="B19" s="47" t="s">
        <v>64</v>
      </c>
      <c r="C19" s="48">
        <v>14.9</v>
      </c>
      <c r="D19" s="57">
        <v>15.2</v>
      </c>
      <c r="E19" s="12">
        <f>($C$19)-$D$19</f>
        <v>-0.29999999999999893</v>
      </c>
      <c r="F19" s="57">
        <v>15.9</v>
      </c>
      <c r="G19" s="12">
        <f>($C$19)-$F$19</f>
        <v>-1</v>
      </c>
      <c r="H19" s="39"/>
    </row>
    <row r="20" spans="1:8" x14ac:dyDescent="0.2">
      <c r="A20" s="39">
        <v>18</v>
      </c>
      <c r="B20" s="47" t="s">
        <v>65</v>
      </c>
      <c r="C20" s="48">
        <v>11.7</v>
      </c>
      <c r="D20" s="57">
        <v>11.8</v>
      </c>
      <c r="E20" s="12">
        <f>($C$20)-$D$20</f>
        <v>-0.10000000000000142</v>
      </c>
      <c r="F20" s="57">
        <v>13.3</v>
      </c>
      <c r="G20" s="12">
        <f>($C$20)-$F$20</f>
        <v>-1.6000000000000014</v>
      </c>
      <c r="H20" s="39"/>
    </row>
    <row r="21" spans="1:8" x14ac:dyDescent="0.2">
      <c r="A21" s="39">
        <v>19</v>
      </c>
      <c r="B21" s="47" t="s">
        <v>66</v>
      </c>
      <c r="C21" s="48">
        <v>8.8000000000000007</v>
      </c>
      <c r="D21" s="57">
        <v>8.8000000000000007</v>
      </c>
      <c r="E21" s="12">
        <f>($C$21)-$D$21</f>
        <v>0</v>
      </c>
      <c r="F21" s="57">
        <v>9.6999999999999993</v>
      </c>
      <c r="G21" s="12">
        <f>($C$21)-$F$21</f>
        <v>-0.89999999999999858</v>
      </c>
      <c r="H21" s="39"/>
    </row>
    <row r="22" spans="1:8" x14ac:dyDescent="0.2">
      <c r="A22" s="39">
        <v>20</v>
      </c>
      <c r="B22" s="47" t="s">
        <v>67</v>
      </c>
      <c r="C22" s="48">
        <v>8.3000000000000007</v>
      </c>
      <c r="D22" s="57">
        <v>8.1999999999999993</v>
      </c>
      <c r="E22" s="12">
        <f>($C$22)-$D$22</f>
        <v>0.10000000000000142</v>
      </c>
      <c r="F22" s="57">
        <v>7.7</v>
      </c>
      <c r="G22" s="12">
        <f>($C$22)-$F$22</f>
        <v>0.60000000000000053</v>
      </c>
      <c r="H22" s="39"/>
    </row>
    <row r="23" spans="1:8" x14ac:dyDescent="0.2">
      <c r="A23" s="39">
        <v>21</v>
      </c>
      <c r="B23" s="47" t="s">
        <v>68</v>
      </c>
      <c r="C23" s="48">
        <v>5.0999999999999996</v>
      </c>
      <c r="D23" s="57">
        <v>5.2</v>
      </c>
      <c r="E23" s="12">
        <f>($C$23)-$D$23</f>
        <v>-0.10000000000000053</v>
      </c>
      <c r="F23" s="57">
        <v>5.9</v>
      </c>
      <c r="G23" s="12">
        <f>($C$23)-$F$23</f>
        <v>-0.80000000000000071</v>
      </c>
      <c r="H23" s="39"/>
    </row>
    <row r="24" spans="1:8" x14ac:dyDescent="0.2">
      <c r="A24" s="39">
        <v>22</v>
      </c>
      <c r="B24" s="47" t="s">
        <v>69</v>
      </c>
      <c r="C24" s="48">
        <v>18.7</v>
      </c>
      <c r="D24" s="57">
        <v>18.899999999999999</v>
      </c>
      <c r="E24" s="12">
        <f>($C$24)-$D$24</f>
        <v>-0.19999999999999929</v>
      </c>
      <c r="F24" s="57">
        <v>19.8</v>
      </c>
      <c r="G24" s="12">
        <f>($C$24)-$F$24</f>
        <v>-1.1000000000000014</v>
      </c>
      <c r="H24" s="39"/>
    </row>
    <row r="25" spans="1:8" x14ac:dyDescent="0.2">
      <c r="A25" s="39">
        <v>23</v>
      </c>
      <c r="B25" s="47" t="s">
        <v>70</v>
      </c>
      <c r="C25" s="48">
        <v>7.7</v>
      </c>
      <c r="D25" s="57">
        <v>7.7</v>
      </c>
      <c r="E25" s="12">
        <f>($C$25)-$D$25</f>
        <v>0</v>
      </c>
      <c r="F25" s="57">
        <v>9.4</v>
      </c>
      <c r="G25" s="12">
        <f>($C$25)-$F$25</f>
        <v>-1.7000000000000002</v>
      </c>
      <c r="H25" s="39"/>
    </row>
    <row r="26" spans="1:8" x14ac:dyDescent="0.2">
      <c r="A26" s="39">
        <v>24</v>
      </c>
      <c r="B26" s="47" t="s">
        <v>71</v>
      </c>
      <c r="C26" s="62">
        <v>2.8</v>
      </c>
      <c r="D26" s="57">
        <v>2.7</v>
      </c>
      <c r="E26" s="12">
        <f>($C$26)-$D$26</f>
        <v>9.9999999999999645E-2</v>
      </c>
      <c r="F26" s="57">
        <v>2.7</v>
      </c>
      <c r="G26" s="12">
        <f>($C$26)-$F$26</f>
        <v>9.9999999999999645E-2</v>
      </c>
      <c r="H26" s="39"/>
    </row>
    <row r="27" spans="1:8" x14ac:dyDescent="0.2">
      <c r="A27" s="39">
        <v>25</v>
      </c>
      <c r="B27" s="47" t="s">
        <v>72</v>
      </c>
      <c r="C27" s="48">
        <v>9.6999999999999993</v>
      </c>
      <c r="D27" s="57">
        <v>9.8000000000000007</v>
      </c>
      <c r="E27" s="12">
        <f>($C$27)-$D$27</f>
        <v>-0.10000000000000142</v>
      </c>
      <c r="F27" s="57">
        <v>11.1</v>
      </c>
      <c r="G27" s="12">
        <f>($C$27)-$F$27</f>
        <v>-1.4000000000000004</v>
      </c>
      <c r="H27" s="39"/>
    </row>
    <row r="28" spans="1:8" x14ac:dyDescent="0.2">
      <c r="A28" s="39">
        <v>26</v>
      </c>
      <c r="B28" s="47" t="s">
        <v>73</v>
      </c>
      <c r="C28" s="48">
        <v>4.3</v>
      </c>
      <c r="D28" s="57">
        <v>4.3</v>
      </c>
      <c r="E28" s="12">
        <f>($C$28)-$D$28</f>
        <v>0</v>
      </c>
      <c r="F28" s="57">
        <v>4.9000000000000004</v>
      </c>
      <c r="G28" s="12">
        <f>($C$28)-$F$28</f>
        <v>-0.60000000000000053</v>
      </c>
      <c r="H28" s="39"/>
    </row>
    <row r="29" spans="1:8" x14ac:dyDescent="0.2">
      <c r="A29" s="39">
        <v>27</v>
      </c>
      <c r="B29" s="47" t="s">
        <v>74</v>
      </c>
      <c r="C29" s="48">
        <v>7.3</v>
      </c>
      <c r="D29" s="63">
        <v>7.3</v>
      </c>
      <c r="E29" s="12">
        <f>($C$29)-$D$29</f>
        <v>0</v>
      </c>
      <c r="F29" s="57">
        <v>8.9</v>
      </c>
      <c r="G29" s="12">
        <f>($C$29)-$F$29</f>
        <v>-1.6000000000000005</v>
      </c>
      <c r="H29" s="39"/>
    </row>
    <row r="30" spans="1:8" x14ac:dyDescent="0.2">
      <c r="B30" s="81" t="s">
        <v>110</v>
      </c>
      <c r="E30" s="46"/>
    </row>
    <row r="31" spans="1:8" x14ac:dyDescent="0.2">
      <c r="B31" s="81"/>
    </row>
  </sheetData>
  <printOptions horizontalCentered="1"/>
  <pageMargins left="0" right="0" top="0.70866141732283472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-0.249977111117893"/>
  </sheetPr>
  <dimension ref="A1:H32"/>
  <sheetViews>
    <sheetView zoomScale="80" zoomScaleNormal="80" workbookViewId="0">
      <selection activeCell="B1" sqref="B1"/>
    </sheetView>
  </sheetViews>
  <sheetFormatPr defaultRowHeight="14.25" x14ac:dyDescent="0.2"/>
  <cols>
    <col min="1" max="1" width="4" style="39" customWidth="1"/>
    <col min="2" max="2" width="5.85546875" style="3" customWidth="1"/>
    <col min="3" max="3" width="31" style="3" customWidth="1"/>
    <col min="4" max="4" width="15.5703125" style="3" customWidth="1"/>
    <col min="5" max="5" width="15.28515625" style="3" customWidth="1"/>
    <col min="6" max="6" width="17.28515625" style="3" customWidth="1"/>
    <col min="7" max="7" width="15.7109375" style="3" customWidth="1"/>
    <col min="8" max="8" width="18.2851562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90</v>
      </c>
    </row>
    <row r="2" spans="1:8" ht="15" x14ac:dyDescent="0.2">
      <c r="C2" s="31"/>
      <c r="D2" s="32"/>
    </row>
    <row r="3" spans="1:8" ht="57" x14ac:dyDescent="0.2">
      <c r="B3" s="33" t="s">
        <v>88</v>
      </c>
      <c r="C3" s="5" t="str">
        <f>T('4_s.bezr.pow.'!B2)</f>
        <v>powiaty</v>
      </c>
      <c r="D3" s="5" t="str">
        <f>T('4_s.bezr.pow.'!C2)</f>
        <v>Stopa bezrobocia stan na 28 II '23 r. w proc.*</v>
      </c>
      <c r="E3" s="5" t="str">
        <f>T('4_s.bezr.pow.'!D2)</f>
        <v>Stopa bezrobocia stan na 31 I '23 r. w proc. *</v>
      </c>
      <c r="F3" s="5" t="str">
        <f>T('4_s.bezr.pow.'!E2)</f>
        <v>wzrost/spadek do poprzedniego miesiąca (pkt. proc.)</v>
      </c>
      <c r="G3" s="5" t="str">
        <f>T('4_s.bezr.pow.'!F2)</f>
        <v>Stopa bezrobocia stan na 28 II '22 r. w proc.*</v>
      </c>
      <c r="H3" s="5" t="str">
        <f>T('4_s.bezr.pow.'!G2)</f>
        <v>wzrost/spadek do analogicznego okresu ubr. (pkt. proc.)</v>
      </c>
    </row>
    <row r="4" spans="1:8" x14ac:dyDescent="0.2">
      <c r="A4" s="39">
        <v>1</v>
      </c>
      <c r="B4" s="10">
        <f>RANK('4_s.bezr.pow.'!C3,'4_s.bezr.pow.'!$C$3:'4_s.bezr.pow.'!$C$29,1)+COUNTIF('4_s.bezr.pow.'!$C$3:'4_s.bezr.pow.'!C3,'4_s.bezr.pow.'!C3)-1</f>
        <v>6</v>
      </c>
      <c r="C4" s="64" t="str">
        <f>INDEX('4_s.bezr.pow.'!B3:G29,MATCH(1,B4:B30,0),1)</f>
        <v>Powiat m.Krosno</v>
      </c>
      <c r="D4" s="46">
        <f>INDEX('4_s.bezr.pow.'!B3:G29,MATCH(1,B4:B30,0),2)</f>
        <v>2.8</v>
      </c>
      <c r="E4" s="57">
        <f>INDEX('4_s.bezr.pow.'!B3:G29,MATCH(1,B4:B30,0),3)</f>
        <v>2.7</v>
      </c>
      <c r="F4" s="36">
        <f>INDEX('4_s.bezr.pow.'!B3:G29,MATCH(1,B4:B30,0),4)</f>
        <v>9.9999999999999645E-2</v>
      </c>
      <c r="G4" s="57">
        <f>INDEX('4_s.bezr.pow.'!B3:G29,MATCH(1,B4:B30,0),5)</f>
        <v>2.7</v>
      </c>
      <c r="H4" s="36">
        <f>INDEX('4_s.bezr.pow.'!B3:G29,MATCH(1,B4:B30,0),6)</f>
        <v>9.9999999999999645E-2</v>
      </c>
    </row>
    <row r="5" spans="1:8" x14ac:dyDescent="0.2">
      <c r="A5" s="39">
        <v>2</v>
      </c>
      <c r="B5" s="10">
        <f>RANK('4_s.bezr.pow.'!C4,'4_s.bezr.pow.'!$C$3:'4_s.bezr.pow.'!$C$29,1)+COUNTIF('4_s.bezr.pow.'!$C$3:'4_s.bezr.pow.'!C4,'4_s.bezr.pow.'!C4)-1</f>
        <v>13</v>
      </c>
      <c r="C5" s="8" t="str">
        <f>INDEX('4_s.bezr.pow.'!B3:G29,MATCH(2,B4:B30,0),1)</f>
        <v>Powiat m.Rzeszów</v>
      </c>
      <c r="D5" s="12">
        <f>INDEX('4_s.bezr.pow.'!B3:G29,MATCH(2,B4:B30,0),2)</f>
        <v>4.3</v>
      </c>
      <c r="E5" s="57">
        <f>INDEX('4_s.bezr.pow.'!B3:G29,MATCH(2,B4:B30,0),3)</f>
        <v>4.3</v>
      </c>
      <c r="F5" s="36">
        <f>INDEX('4_s.bezr.pow.'!B3:G29,MATCH(2,B4:B30,0),4)</f>
        <v>0</v>
      </c>
      <c r="G5" s="57">
        <f>INDEX('4_s.bezr.pow.'!B3:G29,MATCH(2,B4:B30,0),5)</f>
        <v>4.9000000000000004</v>
      </c>
      <c r="H5" s="36">
        <f>INDEX('4_s.bezr.pow.'!B3:G29,MATCH(2,B4:B30,0),6)</f>
        <v>-0.60000000000000053</v>
      </c>
    </row>
    <row r="6" spans="1:8" x14ac:dyDescent="0.2">
      <c r="A6" s="39">
        <v>3</v>
      </c>
      <c r="B6" s="10">
        <f>RANK('4_s.bezr.pow.'!C5,'4_s.bezr.pow.'!$C$3:'4_s.bezr.pow.'!$C$29,1)+COUNTIF('4_s.bezr.pow.'!$C$3:'4_s.bezr.pow.'!C5,'4_s.bezr.pow.'!C5)-1</f>
        <v>22</v>
      </c>
      <c r="C6" s="8" t="str">
        <f>INDEX('4_s.bezr.pow.'!B3:G29,MATCH(3,B4:B30,0),1)</f>
        <v>Powiat mielecki</v>
      </c>
      <c r="D6" s="12">
        <f>INDEX('4_s.bezr.pow.'!B3:G29,MATCH(3,B4:B30,0),2)</f>
        <v>4.8</v>
      </c>
      <c r="E6" s="57">
        <f>INDEX('4_s.bezr.pow.'!B3:G29,MATCH(3,B4:B30,0),3)</f>
        <v>4.7</v>
      </c>
      <c r="F6" s="36">
        <f>INDEX('4_s.bezr.pow.'!B3:G29,MATCH(3,B4:B30,0),4)</f>
        <v>9.9999999999999645E-2</v>
      </c>
      <c r="G6" s="57">
        <f>INDEX('4_s.bezr.pow.'!B3:G29,MATCH(3,B4:B30,0),5)</f>
        <v>5</v>
      </c>
      <c r="H6" s="36">
        <f>INDEX('4_s.bezr.pow.'!B3:G29,MATCH(3,B4:B30,0),6)</f>
        <v>-0.20000000000000018</v>
      </c>
    </row>
    <row r="7" spans="1:8" x14ac:dyDescent="0.2">
      <c r="A7" s="39">
        <v>4</v>
      </c>
      <c r="B7" s="10">
        <f>RANK('4_s.bezr.pow.'!C6,'4_s.bezr.pow.'!$C$3:'4_s.bezr.pow.'!$C$29,1)+COUNTIF('4_s.bezr.pow.'!$C$3:'4_s.bezr.pow.'!C6,'4_s.bezr.pow.'!C6)-1</f>
        <v>27</v>
      </c>
      <c r="C7" s="8" t="str">
        <f>INDEX('4_s.bezr.pow.'!B3:G29,MATCH(4,B4:B30,0),1)</f>
        <v>Powiat dębicki</v>
      </c>
      <c r="D7" s="12">
        <f>INDEX('4_s.bezr.pow.'!B3:G29,MATCH(4,B4:B30,0),2)</f>
        <v>5.0999999999999996</v>
      </c>
      <c r="E7" s="57">
        <f>INDEX('4_s.bezr.pow.'!B3:G29,MATCH(4,B4:B30,0),3)</f>
        <v>5.0999999999999996</v>
      </c>
      <c r="F7" s="36">
        <f>INDEX('4_s.bezr.pow.'!B3:G29,MATCH(4,B4:B30,0),4)</f>
        <v>0</v>
      </c>
      <c r="G7" s="57">
        <f>INDEX('4_s.bezr.pow.'!B3:G29,MATCH(4,B4:B30,0),5)</f>
        <v>5.4</v>
      </c>
      <c r="H7" s="36">
        <f>INDEX('4_s.bezr.pow.'!B3:G29,MATCH(4,B4:B30,0),6)</f>
        <v>-0.30000000000000071</v>
      </c>
    </row>
    <row r="8" spans="1:8" x14ac:dyDescent="0.2">
      <c r="A8" s="39">
        <v>5</v>
      </c>
      <c r="B8" s="10">
        <f>RANK('4_s.bezr.pow.'!C7,'4_s.bezr.pow.'!$C$3:'4_s.bezr.pow.'!$C$29,1)+COUNTIF('4_s.bezr.pow.'!$C$3:'4_s.bezr.pow.'!C7,'4_s.bezr.pow.'!C7)-1</f>
        <v>4</v>
      </c>
      <c r="C8" s="8" t="str">
        <f>INDEX('4_s.bezr.pow.'!B3:G29,MATCH(5,B4:B30,0),1)</f>
        <v>Powiat stalowowolski</v>
      </c>
      <c r="D8" s="12">
        <f>INDEX('4_s.bezr.pow.'!B3:G29,MATCH(5,B4:B30,0),2)</f>
        <v>5.0999999999999996</v>
      </c>
      <c r="E8" s="57">
        <f>INDEX('4_s.bezr.pow.'!B3:G29,MATCH(5,B4:B30,0),3)</f>
        <v>5.2</v>
      </c>
      <c r="F8" s="36">
        <f>INDEX('4_s.bezr.pow.'!B3:G29,MATCH(5,B4:B30,0),4)</f>
        <v>-0.10000000000000053</v>
      </c>
      <c r="G8" s="57">
        <f>INDEX('4_s.bezr.pow.'!B3:G29,MATCH(5,B4:B30,0),5)</f>
        <v>5.9</v>
      </c>
      <c r="H8" s="36">
        <f>INDEX('4_s.bezr.pow.'!B3:G29,MATCH(5,B4:B30,0),6)</f>
        <v>-0.80000000000000071</v>
      </c>
    </row>
    <row r="9" spans="1:8" x14ac:dyDescent="0.2">
      <c r="A9" s="39">
        <v>6</v>
      </c>
      <c r="B9" s="10">
        <f>RANK('4_s.bezr.pow.'!C8,'4_s.bezr.pow.'!$C$3:'4_s.bezr.pow.'!$C$29,1)+COUNTIF('4_s.bezr.pow.'!$C$3:'4_s.bezr.pow.'!C8,'4_s.bezr.pow.'!C8)-1</f>
        <v>18</v>
      </c>
      <c r="C9" s="8" t="str">
        <f>INDEX('4_s.bezr.pow.'!B3:G29,MATCH(6,B4:B30,0),1)</f>
        <v>POLSKA</v>
      </c>
      <c r="D9" s="12">
        <f>INDEX('4_s.bezr.pow.'!B3:G29,MATCH(6,B4:B30,0),2)</f>
        <v>5.5</v>
      </c>
      <c r="E9" s="57">
        <f>INDEX('4_s.bezr.pow.'!B3:G29,MATCH(6,B4:B30,0),3)</f>
        <v>5.5</v>
      </c>
      <c r="F9" s="36">
        <f>INDEX('4_s.bezr.pow.'!B3:G29,MATCH(6,B4:B30,0),4)</f>
        <v>0</v>
      </c>
      <c r="G9" s="57">
        <f>INDEX('4_s.bezr.pow.'!B3:G29,MATCH(6,B4:B30,0),5)</f>
        <v>5.9</v>
      </c>
      <c r="H9" s="36">
        <f>INDEX('4_s.bezr.pow.'!B3:G29,MATCH(6,B4:B30,0),6)</f>
        <v>-0.40000000000000036</v>
      </c>
    </row>
    <row r="10" spans="1:8" x14ac:dyDescent="0.2">
      <c r="A10" s="39">
        <v>7</v>
      </c>
      <c r="B10" s="10">
        <f>RANK('4_s.bezr.pow.'!C9,'4_s.bezr.pow.'!$C$3:'4_s.bezr.pow.'!$C$29,1)+COUNTIF('4_s.bezr.pow.'!$C$3:'4_s.bezr.pow.'!C9,'4_s.bezr.pow.'!C9)-1</f>
        <v>19</v>
      </c>
      <c r="C10" s="13" t="str">
        <f>INDEX('4_s.bezr.pow.'!B3:G29,MATCH(7,B4:B30,0),1)</f>
        <v>Powiat m.Tarnobrzeg</v>
      </c>
      <c r="D10" s="12">
        <f>INDEX('4_s.bezr.pow.'!B3:G29,MATCH(7,B4:B30,0),2)</f>
        <v>7.3</v>
      </c>
      <c r="E10" s="57">
        <f>INDEX('4_s.bezr.pow.'!B3:G29,MATCH(7,B4:B30,0),3)</f>
        <v>7.3</v>
      </c>
      <c r="F10" s="36">
        <f>INDEX('4_s.bezr.pow.'!B3:G29,MATCH(7,B4:B30,0),4)</f>
        <v>0</v>
      </c>
      <c r="G10" s="57">
        <f>INDEX('4_s.bezr.pow.'!B3:G29,MATCH(7,B4:B30,0),5)</f>
        <v>8.9</v>
      </c>
      <c r="H10" s="36">
        <f>INDEX('4_s.bezr.pow.'!B3:G29,MATCH(7,B4:B30,0),6)</f>
        <v>-1.6000000000000005</v>
      </c>
    </row>
    <row r="11" spans="1:8" x14ac:dyDescent="0.2">
      <c r="A11" s="39">
        <v>8</v>
      </c>
      <c r="B11" s="10">
        <f>RANK('4_s.bezr.pow.'!C10,'4_s.bezr.pow.'!$C$3:'4_s.bezr.pow.'!$C$29,1)+COUNTIF('4_s.bezr.pow.'!$C$3:'4_s.bezr.pow.'!C10,'4_s.bezr.pow.'!C10)-1</f>
        <v>12</v>
      </c>
      <c r="C11" s="8" t="str">
        <f>INDEX('4_s.bezr.pow.'!B3:G29,MATCH(8,B4:B30,0),1)</f>
        <v>Powiat tarnobrzeski</v>
      </c>
      <c r="D11" s="12">
        <f>INDEX('4_s.bezr.pow.'!B3:G29,MATCH(8,B4:B30,0),2)</f>
        <v>7.7</v>
      </c>
      <c r="E11" s="57">
        <f>INDEX('4_s.bezr.pow.'!B3:G29,MATCH(8,B4:B30,0),3)</f>
        <v>7.7</v>
      </c>
      <c r="F11" s="36">
        <f>INDEX('4_s.bezr.pow.'!B3:G29,MATCH(8,B4:B30,0),4)</f>
        <v>0</v>
      </c>
      <c r="G11" s="57">
        <f>INDEX('4_s.bezr.pow.'!B3:G29,MATCH(8,B4:B30,0),5)</f>
        <v>9.4</v>
      </c>
      <c r="H11" s="36">
        <f>INDEX('4_s.bezr.pow.'!B3:G29,MATCH(8,B4:B30,0),6)</f>
        <v>-1.7000000000000002</v>
      </c>
    </row>
    <row r="12" spans="1:8" x14ac:dyDescent="0.2">
      <c r="A12" s="39">
        <v>9</v>
      </c>
      <c r="B12" s="10">
        <f>RANK('4_s.bezr.pow.'!C11,'4_s.bezr.pow.'!$C$3:'4_s.bezr.pow.'!$C$29,1)+COUNTIF('4_s.bezr.pow.'!$C$3:'4_s.bezr.pow.'!C11,'4_s.bezr.pow.'!C11)-1</f>
        <v>10</v>
      </c>
      <c r="C12" s="8" t="str">
        <f>INDEX('4_s.bezr.pow.'!B3:G29,MATCH(9,B4:B30,0),1)</f>
        <v>Powiat sanocki</v>
      </c>
      <c r="D12" s="12">
        <f>INDEX('4_s.bezr.pow.'!B3:G29,MATCH(9,B4:B30,0),2)</f>
        <v>8.3000000000000007</v>
      </c>
      <c r="E12" s="57">
        <f>INDEX('4_s.bezr.pow.'!B3:G29,MATCH(9,B4:B30,0),3)</f>
        <v>8.1999999999999993</v>
      </c>
      <c r="F12" s="36">
        <f>INDEX('4_s.bezr.pow.'!B3:G29,MATCH(9,B4:B30,0),4)</f>
        <v>0.10000000000000142</v>
      </c>
      <c r="G12" s="57">
        <f>INDEX('4_s.bezr.pow.'!B3:G29,MATCH(9,B4:B30,0),5)</f>
        <v>7.7</v>
      </c>
      <c r="H12" s="36">
        <f>INDEX('4_s.bezr.pow.'!B3:G29,MATCH(9,B4:B30,0),6)</f>
        <v>0.60000000000000053</v>
      </c>
    </row>
    <row r="13" spans="1:8" x14ac:dyDescent="0.2">
      <c r="A13" s="39">
        <v>10</v>
      </c>
      <c r="B13" s="10">
        <f>RANK('4_s.bezr.pow.'!C12,'4_s.bezr.pow.'!$C$3:'4_s.bezr.pow.'!$C$29,1)+COUNTIF('4_s.bezr.pow.'!$C$3:'4_s.bezr.pow.'!C12,'4_s.bezr.pow.'!C12)-1</f>
        <v>26</v>
      </c>
      <c r="C13" s="8" t="str">
        <f>INDEX('4_s.bezr.pow.'!B3:G29,MATCH(10,B4:B30,0),1)</f>
        <v>Powiat krośnieński</v>
      </c>
      <c r="D13" s="12">
        <f>INDEX('4_s.bezr.pow.'!B3:G29,MATCH(10,B4:B30,0),2)</f>
        <v>8.5</v>
      </c>
      <c r="E13" s="57">
        <f>INDEX('4_s.bezr.pow.'!B3:G29,MATCH(10,B4:B30,0),3)</f>
        <v>8.3000000000000007</v>
      </c>
      <c r="F13" s="36">
        <f>INDEX('4_s.bezr.pow.'!B3:G29,MATCH(10,B4:B30,0),4)</f>
        <v>0.19999999999999929</v>
      </c>
      <c r="G13" s="57">
        <f>INDEX('4_s.bezr.pow.'!B3:G29,MATCH(10,B4:B30,0),5)</f>
        <v>8.1999999999999993</v>
      </c>
      <c r="H13" s="36">
        <f>INDEX('4_s.bezr.pow.'!B3:G29,MATCH(10,B4:B30,0),6)</f>
        <v>0.30000000000000071</v>
      </c>
    </row>
    <row r="14" spans="1:8" x14ac:dyDescent="0.2">
      <c r="A14" s="39">
        <v>11</v>
      </c>
      <c r="B14" s="10">
        <f>RANK('4_s.bezr.pow.'!C13,'4_s.bezr.pow.'!$C$3:'4_s.bezr.pow.'!$C$29,1)+COUNTIF('4_s.bezr.pow.'!$C$3:'4_s.bezr.pow.'!C13,'4_s.bezr.pow.'!C13)-1</f>
        <v>21</v>
      </c>
      <c r="C14" s="8" t="str">
        <f>INDEX('4_s.bezr.pow.'!B3:G29,MATCH(11,B4:B30,0),1)</f>
        <v>Powiat rzeszowski</v>
      </c>
      <c r="D14" s="12">
        <f>INDEX('4_s.bezr.pow.'!B3:G29,MATCH(11,B4:B30,0),2)</f>
        <v>8.8000000000000007</v>
      </c>
      <c r="E14" s="57">
        <f>INDEX('4_s.bezr.pow.'!B3:G29,MATCH(11,B4:B30,0),3)</f>
        <v>8.8000000000000007</v>
      </c>
      <c r="F14" s="36">
        <f>INDEX('4_s.bezr.pow.'!B3:G29,MATCH(11,B4:B30,0),4)</f>
        <v>0</v>
      </c>
      <c r="G14" s="57">
        <f>INDEX('4_s.bezr.pow.'!B3:G29,MATCH(11,B4:B30,0),5)</f>
        <v>9.6999999999999993</v>
      </c>
      <c r="H14" s="36">
        <f>INDEX('4_s.bezr.pow.'!B3:G29,MATCH(11,B4:B30,0),6)</f>
        <v>-0.89999999999999858</v>
      </c>
    </row>
    <row r="15" spans="1:8" x14ac:dyDescent="0.2">
      <c r="A15" s="39">
        <v>12</v>
      </c>
      <c r="B15" s="10">
        <f>RANK('4_s.bezr.pow.'!C14,'4_s.bezr.pow.'!$C$3:'4_s.bezr.pow.'!$C$29,1)+COUNTIF('4_s.bezr.pow.'!$C$3:'4_s.bezr.pow.'!C14,'4_s.bezr.pow.'!C14)-1</f>
        <v>17</v>
      </c>
      <c r="C15" s="65" t="str">
        <f>INDEX('4_s.bezr.pow.'!B3:G29,MATCH(12,B4:B30,0),1)</f>
        <v>Powiat kolbuszowski</v>
      </c>
      <c r="D15" s="12">
        <f>INDEX('4_s.bezr.pow.'!B3:G29,MATCH(12,B4:B30,0),2)</f>
        <v>9.1</v>
      </c>
      <c r="E15" s="57">
        <f>INDEX('4_s.bezr.pow.'!B3:G29,MATCH(12,B4:B30,0),3)</f>
        <v>9</v>
      </c>
      <c r="F15" s="36">
        <f>INDEX('4_s.bezr.pow.'!B3:G29,MATCH(12,B4:B30,0),4)</f>
        <v>9.9999999999999645E-2</v>
      </c>
      <c r="G15" s="57">
        <f>INDEX('4_s.bezr.pow.'!B3:G29,MATCH(12,B4:B30,0),5)</f>
        <v>9.8000000000000007</v>
      </c>
      <c r="H15" s="36">
        <f>INDEX('4_s.bezr.pow.'!B3:G29,MATCH(12,B4:B30,0),6)</f>
        <v>-0.70000000000000107</v>
      </c>
    </row>
    <row r="16" spans="1:8" x14ac:dyDescent="0.2">
      <c r="A16" s="39">
        <v>13</v>
      </c>
      <c r="B16" s="10">
        <f>RANK('4_s.bezr.pow.'!C15,'4_s.bezr.pow.'!$C$3:'4_s.bezr.pow.'!$C$29,1)+COUNTIF('4_s.bezr.pow.'!$C$3:'4_s.bezr.pow.'!C15,'4_s.bezr.pow.'!C15)-1</f>
        <v>15</v>
      </c>
      <c r="C16" s="8" t="str">
        <f>INDEX('4_s.bezr.pow.'!B3:G29,MATCH(13,B4:B30,0),1)</f>
        <v>PODKARPACKIE</v>
      </c>
      <c r="D16" s="12">
        <f>INDEX('4_s.bezr.pow.'!B3:G29,MATCH(13,B4:B30,0),2)</f>
        <v>9.1999999999999993</v>
      </c>
      <c r="E16" s="57">
        <f>INDEX('4_s.bezr.pow.'!B3:G29,MATCH(13,B4:B30,0),3)</f>
        <v>9.1999999999999993</v>
      </c>
      <c r="F16" s="36">
        <f>INDEX('4_s.bezr.pow.'!B3:G29,MATCH(13,B4:B30,0),4)</f>
        <v>0</v>
      </c>
      <c r="G16" s="57">
        <f>INDEX('4_s.bezr.pow.'!B3:G29,MATCH(13,B4:B30,0),5)</f>
        <v>10</v>
      </c>
      <c r="H16" s="36">
        <f>INDEX('4_s.bezr.pow.'!B3:G29,MATCH(13,B4:B30,0),6)</f>
        <v>-0.80000000000000071</v>
      </c>
    </row>
    <row r="17" spans="1:8" x14ac:dyDescent="0.2">
      <c r="A17" s="39">
        <v>14</v>
      </c>
      <c r="B17" s="10">
        <f>RANK('4_s.bezr.pow.'!C16,'4_s.bezr.pow.'!$C$3:'4_s.bezr.pow.'!$C$29,1)+COUNTIF('4_s.bezr.pow.'!$C$3:'4_s.bezr.pow.'!C16,'4_s.bezr.pow.'!C16)-1</f>
        <v>3</v>
      </c>
      <c r="C17" s="8" t="str">
        <f>INDEX('4_s.bezr.pow.'!B3:G29,MATCH(14,B4:B30,0),1)</f>
        <v>Powiat m.Przemyśl</v>
      </c>
      <c r="D17" s="12">
        <f>INDEX('4_s.bezr.pow.'!B3:G29,MATCH(14,B4:B30,0),2)</f>
        <v>9.6999999999999993</v>
      </c>
      <c r="E17" s="57">
        <f>INDEX('4_s.bezr.pow.'!B3:G29,MATCH(14,B4:B30,0),3)</f>
        <v>9.8000000000000007</v>
      </c>
      <c r="F17" s="36">
        <f>INDEX('4_s.bezr.pow.'!B3:G29,MATCH(14,B4:B30,0),4)</f>
        <v>-0.10000000000000142</v>
      </c>
      <c r="G17" s="57">
        <f>INDEX('4_s.bezr.pow.'!B3:G29,MATCH(14,B4:B30,0),5)</f>
        <v>11.1</v>
      </c>
      <c r="H17" s="36">
        <f>INDEX('4_s.bezr.pow.'!B3:G29,MATCH(14,B4:B30,0),6)</f>
        <v>-1.4000000000000004</v>
      </c>
    </row>
    <row r="18" spans="1:8" x14ac:dyDescent="0.2">
      <c r="A18" s="39">
        <v>15</v>
      </c>
      <c r="B18" s="10">
        <f>RANK('4_s.bezr.pow.'!C17,'4_s.bezr.pow.'!$C$3:'4_s.bezr.pow.'!$C$29,1)+COUNTIF('4_s.bezr.pow.'!$C$3:'4_s.bezr.pow.'!C17,'4_s.bezr.pow.'!C17)-1</f>
        <v>24</v>
      </c>
      <c r="C18" s="8" t="str">
        <f>INDEX('4_s.bezr.pow.'!B3:G29,MATCH(15,B4:B30,0),1)</f>
        <v>Powiat łańcucki</v>
      </c>
      <c r="D18" s="12">
        <f>INDEX('4_s.bezr.pow.'!B3:G29,MATCH(15,B4:B30,0),2)</f>
        <v>10.6</v>
      </c>
      <c r="E18" s="57">
        <f>INDEX('4_s.bezr.pow.'!B3:G29,MATCH(15,B4:B30,0),3)</f>
        <v>10.6</v>
      </c>
      <c r="F18" s="36">
        <f>INDEX('4_s.bezr.pow.'!B3:G29,MATCH(15,B4:B30,0),4)</f>
        <v>0</v>
      </c>
      <c r="G18" s="57">
        <f>INDEX('4_s.bezr.pow.'!B3:G29,MATCH(15,B4:B30,0),5)</f>
        <v>12.6</v>
      </c>
      <c r="H18" s="36">
        <f>INDEX('4_s.bezr.pow.'!B3:G29,MATCH(15,B4:B30,0),6)</f>
        <v>-2</v>
      </c>
    </row>
    <row r="19" spans="1:8" x14ac:dyDescent="0.2">
      <c r="A19" s="39">
        <v>16</v>
      </c>
      <c r="B19" s="10">
        <f>RANK('4_s.bezr.pow.'!C18,'4_s.bezr.pow.'!$C$3:'4_s.bezr.pow.'!$C$29,1)+COUNTIF('4_s.bezr.pow.'!$C$3:'4_s.bezr.pow.'!C18,'4_s.bezr.pow.'!C18)-1</f>
        <v>23</v>
      </c>
      <c r="C19" s="8" t="str">
        <f>INDEX('4_s.bezr.pow.'!B3:G29,MATCH(16,B4:B30,0),1)</f>
        <v>Powiat ropczycko-sędziszowski</v>
      </c>
      <c r="D19" s="12">
        <f>INDEX('4_s.bezr.pow.'!B3:G29,MATCH(16,B4:B30,0),2)</f>
        <v>11.7</v>
      </c>
      <c r="E19" s="57">
        <f>INDEX('4_s.bezr.pow.'!B3:G29,MATCH(16,B4:B30,0),3)</f>
        <v>11.8</v>
      </c>
      <c r="F19" s="36">
        <f>INDEX('4_s.bezr.pow.'!B3:G29,MATCH(16,B4:B30,0),4)</f>
        <v>-0.10000000000000142</v>
      </c>
      <c r="G19" s="57">
        <f>INDEX('4_s.bezr.pow.'!B3:G29,MATCH(16,B4:B30,0),5)</f>
        <v>13.3</v>
      </c>
      <c r="H19" s="36">
        <f>INDEX('4_s.bezr.pow.'!B3:G29,MATCH(16,B4:B30,0),6)</f>
        <v>-1.6000000000000014</v>
      </c>
    </row>
    <row r="20" spans="1:8" x14ac:dyDescent="0.2">
      <c r="A20" s="39">
        <v>17</v>
      </c>
      <c r="B20" s="10">
        <f>RANK('4_s.bezr.pow.'!C19,'4_s.bezr.pow.'!$C$3:'4_s.bezr.pow.'!$C$29,1)+COUNTIF('4_s.bezr.pow.'!$C$3:'4_s.bezr.pow.'!C19,'4_s.bezr.pow.'!C19)-1</f>
        <v>20</v>
      </c>
      <c r="C20" s="8" t="str">
        <f>INDEX('4_s.bezr.pow.'!B3:G29,MATCH(17,B4:B30,0),1)</f>
        <v>Powiat lubaczowski</v>
      </c>
      <c r="D20" s="12">
        <f>INDEX('4_s.bezr.pow.'!B3:G29,MATCH(17,B4:B30,0),2)</f>
        <v>11.8</v>
      </c>
      <c r="E20" s="57">
        <f>INDEX('4_s.bezr.pow.'!B3:G29,MATCH(17,B4:B30,0),3)</f>
        <v>12</v>
      </c>
      <c r="F20" s="36">
        <f>INDEX('4_s.bezr.pow.'!B3:G29,MATCH(17,B4:B30,0),4)</f>
        <v>-0.19999999999999929</v>
      </c>
      <c r="G20" s="57">
        <f>INDEX('4_s.bezr.pow.'!B3:G29,MATCH(17,B4:B30,0),5)</f>
        <v>12.6</v>
      </c>
      <c r="H20" s="36">
        <f>INDEX('4_s.bezr.pow.'!B3:G29,MATCH(17,B4:B30,0),6)</f>
        <v>-0.79999999999999893</v>
      </c>
    </row>
    <row r="21" spans="1:8" x14ac:dyDescent="0.2">
      <c r="A21" s="39">
        <v>18</v>
      </c>
      <c r="B21" s="10">
        <f>RANK('4_s.bezr.pow.'!C20,'4_s.bezr.pow.'!$C$3:'4_s.bezr.pow.'!$C$29,1)+COUNTIF('4_s.bezr.pow.'!$C$3:'4_s.bezr.pow.'!C20,'4_s.bezr.pow.'!C20)-1</f>
        <v>16</v>
      </c>
      <c r="C21" s="8" t="str">
        <f>INDEX('4_s.bezr.pow.'!B3:G29,MATCH(18,B4:B30,0),1)</f>
        <v>Powiat jarosławski</v>
      </c>
      <c r="D21" s="12">
        <f>INDEX('4_s.bezr.pow.'!B3:G29,MATCH(18,B4:B30,0),2)</f>
        <v>12</v>
      </c>
      <c r="E21" s="57">
        <f>INDEX('4_s.bezr.pow.'!B3:G29,MATCH(18,B4:B30,0),3)</f>
        <v>12</v>
      </c>
      <c r="F21" s="36">
        <f>INDEX('4_s.bezr.pow.'!B3:G29,MATCH(18,B4:B30,0),4)</f>
        <v>0</v>
      </c>
      <c r="G21" s="57">
        <f>INDEX('4_s.bezr.pow.'!B3:G29,MATCH(18,B4:B30,0),5)</f>
        <v>13.5</v>
      </c>
      <c r="H21" s="36">
        <f>INDEX('4_s.bezr.pow.'!B3:G29,MATCH(18,B4:B30,0),6)</f>
        <v>-1.5</v>
      </c>
    </row>
    <row r="22" spans="1:8" x14ac:dyDescent="0.2">
      <c r="A22" s="39">
        <v>19</v>
      </c>
      <c r="B22" s="10">
        <f>RANK('4_s.bezr.pow.'!C21,'4_s.bezr.pow.'!$C$3:'4_s.bezr.pow.'!$C$29,1)+COUNTIF('4_s.bezr.pow.'!$C$3:'4_s.bezr.pow.'!C21,'4_s.bezr.pow.'!C21)-1</f>
        <v>11</v>
      </c>
      <c r="C22" s="8" t="str">
        <f>INDEX('4_s.bezr.pow.'!B3:G29,MATCH(19,B4:B30,0),1)</f>
        <v>Powiat jasielski</v>
      </c>
      <c r="D22" s="12">
        <f>INDEX('4_s.bezr.pow.'!B3:G29,MATCH(19,B4:B30,0),2)</f>
        <v>13.4</v>
      </c>
      <c r="E22" s="57">
        <f>INDEX('4_s.bezr.pow.'!B3:G29,MATCH(19,B4:B30,0),3)</f>
        <v>13.4</v>
      </c>
      <c r="F22" s="36">
        <f>INDEX('4_s.bezr.pow.'!B3:G29,MATCH(19,B4:B30,0),4)</f>
        <v>0</v>
      </c>
      <c r="G22" s="57">
        <f>INDEX('4_s.bezr.pow.'!B3:G29,MATCH(19,B4:B30,0),5)</f>
        <v>14.2</v>
      </c>
      <c r="H22" s="36">
        <f>INDEX('4_s.bezr.pow.'!B3:G29,MATCH(19,B4:B30,0),6)</f>
        <v>-0.79999999999999893</v>
      </c>
    </row>
    <row r="23" spans="1:8" x14ac:dyDescent="0.2">
      <c r="A23" s="39">
        <v>20</v>
      </c>
      <c r="B23" s="10">
        <f>RANK('4_s.bezr.pow.'!C22,'4_s.bezr.pow.'!$C$3:'4_s.bezr.pow.'!$C$29,1)+COUNTIF('4_s.bezr.pow.'!$C$3:'4_s.bezr.pow.'!C22,'4_s.bezr.pow.'!C22)-1</f>
        <v>9</v>
      </c>
      <c r="C23" s="8" t="str">
        <f>INDEX('4_s.bezr.pow.'!B3:G29,MATCH(20,B4:B30,0),1)</f>
        <v>Powiat przeworski</v>
      </c>
      <c r="D23" s="12">
        <f>INDEX('4_s.bezr.pow.'!B3:G29,MATCH(20,B4:B30,0),2)</f>
        <v>14.9</v>
      </c>
      <c r="E23" s="57">
        <f>INDEX('4_s.bezr.pow.'!B3:G29,MATCH(20,B4:B30,0),3)</f>
        <v>15.2</v>
      </c>
      <c r="F23" s="36">
        <f>INDEX('4_s.bezr.pow.'!B3:G29,MATCH(20,B4:B30,0),4)</f>
        <v>-0.29999999999999893</v>
      </c>
      <c r="G23" s="57">
        <f>INDEX('4_s.bezr.pow.'!B3:G29,MATCH(20,B4:B30,0),5)</f>
        <v>15.9</v>
      </c>
      <c r="H23" s="36">
        <f>INDEX('4_s.bezr.pow.'!B3:G29,MATCH(20,B4:B30,0),6)</f>
        <v>-1</v>
      </c>
    </row>
    <row r="24" spans="1:8" x14ac:dyDescent="0.2">
      <c r="A24" s="39">
        <v>21</v>
      </c>
      <c r="B24" s="10">
        <f>RANK('4_s.bezr.pow.'!C23,'4_s.bezr.pow.'!$C$3:'4_s.bezr.pow.'!$C$29,1)+COUNTIF('4_s.bezr.pow.'!$C$3:'4_s.bezr.pow.'!C23,'4_s.bezr.pow.'!C23)-1</f>
        <v>5</v>
      </c>
      <c r="C24" s="8" t="str">
        <f>INDEX('4_s.bezr.pow.'!B3:G29,MATCH(21,B4:B30,0),1)</f>
        <v>Powiat leżajski</v>
      </c>
      <c r="D24" s="12">
        <f>INDEX('4_s.bezr.pow.'!B3:G29,MATCH(21,B4:B30,0),2)</f>
        <v>15.8</v>
      </c>
      <c r="E24" s="57">
        <f>INDEX('4_s.bezr.pow.'!B3:G29,MATCH(21,B4:B30,0),3)</f>
        <v>15.8</v>
      </c>
      <c r="F24" s="36">
        <f>INDEX('4_s.bezr.pow.'!B3:G29,MATCH(21,B4:B30,0),4)</f>
        <v>0</v>
      </c>
      <c r="G24" s="57">
        <f>INDEX('4_s.bezr.pow.'!B3:G29,MATCH(21,B4:B30,0),5)</f>
        <v>17.5</v>
      </c>
      <c r="H24" s="36">
        <f>INDEX('4_s.bezr.pow.'!B3:G29,MATCH(21,B4:B30,0),6)</f>
        <v>-1.6999999999999993</v>
      </c>
    </row>
    <row r="25" spans="1:8" x14ac:dyDescent="0.2">
      <c r="A25" s="39">
        <v>22</v>
      </c>
      <c r="B25" s="10">
        <f>RANK('4_s.bezr.pow.'!C24,'4_s.bezr.pow.'!$C$3:'4_s.bezr.pow.'!$C$29,1)+COUNTIF('4_s.bezr.pow.'!$C$3:'4_s.bezr.pow.'!C24,'4_s.bezr.pow.'!C24)-1</f>
        <v>25</v>
      </c>
      <c r="C25" s="8" t="str">
        <f>INDEX('4_s.bezr.pow.'!B3:G29,MATCH(22,B4:B30,0),1)</f>
        <v>Powiat bieszczadzki</v>
      </c>
      <c r="D25" s="12">
        <f>INDEX('4_s.bezr.pow.'!B3:G29,MATCH(22,B4:B30,0),2)</f>
        <v>17</v>
      </c>
      <c r="E25" s="57">
        <f>INDEX('4_s.bezr.pow.'!B3:G29,MATCH(22,B4:B30,0),3)</f>
        <v>17.100000000000001</v>
      </c>
      <c r="F25" s="36">
        <f>INDEX('4_s.bezr.pow.'!B3:G29,MATCH(22,B4:B30,0),4)</f>
        <v>-0.10000000000000142</v>
      </c>
      <c r="G25" s="57">
        <f>INDEX('4_s.bezr.pow.'!B3:G29,MATCH(22,B4:B30,0),5)</f>
        <v>17.3</v>
      </c>
      <c r="H25" s="36">
        <f>INDEX('4_s.bezr.pow.'!B3:G29,MATCH(22,B4:B30,0),6)</f>
        <v>-0.30000000000000071</v>
      </c>
    </row>
    <row r="26" spans="1:8" x14ac:dyDescent="0.2">
      <c r="A26" s="39">
        <v>23</v>
      </c>
      <c r="B26" s="10">
        <f>RANK('4_s.bezr.pow.'!C25,'4_s.bezr.pow.'!$C$3:'4_s.bezr.pow.'!$C$29,1)+COUNTIF('4_s.bezr.pow.'!$C$3:'4_s.bezr.pow.'!C25,'4_s.bezr.pow.'!C25)-1</f>
        <v>8</v>
      </c>
      <c r="C26" s="8" t="str">
        <f>INDEX('4_s.bezr.pow.'!B3:G29,MATCH(23,B4:B30,0),1)</f>
        <v>Powiat przemyski</v>
      </c>
      <c r="D26" s="12">
        <f>INDEX('4_s.bezr.pow.'!B3:G29,MATCH(23,B4:B30,0),2)</f>
        <v>17.899999999999999</v>
      </c>
      <c r="E26" s="57">
        <f>INDEX('4_s.bezr.pow.'!B3:G29,MATCH(23,B4:B30,0),3)</f>
        <v>18.2</v>
      </c>
      <c r="F26" s="36">
        <f>INDEX('4_s.bezr.pow.'!B3:G29,MATCH(23,B4:B30,0),4)</f>
        <v>-0.30000000000000071</v>
      </c>
      <c r="G26" s="57">
        <f>INDEX('4_s.bezr.pow.'!B3:G29,MATCH(23,B4:B30,0),5)</f>
        <v>20.399999999999999</v>
      </c>
      <c r="H26" s="36">
        <f>INDEX('4_s.bezr.pow.'!B3:G29,MATCH(23,B4:B30,0),6)</f>
        <v>-2.5</v>
      </c>
    </row>
    <row r="27" spans="1:8" x14ac:dyDescent="0.2">
      <c r="A27" s="39">
        <v>24</v>
      </c>
      <c r="B27" s="10">
        <f>RANK('4_s.bezr.pow.'!C26,'4_s.bezr.pow.'!$C$3:'4_s.bezr.pow.'!$C$29,1)+COUNTIF('4_s.bezr.pow.'!$C$3:'4_s.bezr.pow.'!C26,'4_s.bezr.pow.'!C26)-1</f>
        <v>1</v>
      </c>
      <c r="C27" s="8" t="str">
        <f>INDEX('4_s.bezr.pow.'!B3:G29,MATCH(24,B4:B30,0),1)</f>
        <v>Powiat niżański</v>
      </c>
      <c r="D27" s="12">
        <f>INDEX('4_s.bezr.pow.'!B3:G29,MATCH(24,B4:B30,0),2)</f>
        <v>18.100000000000001</v>
      </c>
      <c r="E27" s="57">
        <f>INDEX('4_s.bezr.pow.'!B3:G29,MATCH(24,B4:B30,0),3)</f>
        <v>18.399999999999999</v>
      </c>
      <c r="F27" s="36">
        <f>INDEX('4_s.bezr.pow.'!B3:G29,MATCH(24,B4:B30,0),4)</f>
        <v>-0.29999999999999716</v>
      </c>
      <c r="G27" s="57">
        <f>INDEX('4_s.bezr.pow.'!B3:G29,MATCH(24,B4:B30,0),5)</f>
        <v>18.899999999999999</v>
      </c>
      <c r="H27" s="36">
        <f>INDEX('4_s.bezr.pow.'!B3:G29,MATCH(24,B4:B30,0),6)</f>
        <v>-0.79999999999999716</v>
      </c>
    </row>
    <row r="28" spans="1:8" x14ac:dyDescent="0.2">
      <c r="A28" s="39">
        <v>25</v>
      </c>
      <c r="B28" s="10">
        <f>RANK('4_s.bezr.pow.'!C27,'4_s.bezr.pow.'!$C$3:'4_s.bezr.pow.'!$C$29,1)+COUNTIF('4_s.bezr.pow.'!$C$3:'4_s.bezr.pow.'!C27,'4_s.bezr.pow.'!C27)-1</f>
        <v>14</v>
      </c>
      <c r="C28" s="8" t="str">
        <f>INDEX('4_s.bezr.pow.'!B3:G29,MATCH(25,B4:B30,0),1)</f>
        <v>Powiat strzyżowski</v>
      </c>
      <c r="D28" s="12">
        <f>INDEX('4_s.bezr.pow.'!B3:G29,MATCH(25,B4:B30,0),2)</f>
        <v>18.7</v>
      </c>
      <c r="E28" s="57">
        <f>INDEX('4_s.bezr.pow.'!B3:G29,MATCH(25,B4:B30,0),3)</f>
        <v>18.899999999999999</v>
      </c>
      <c r="F28" s="36">
        <f>INDEX('4_s.bezr.pow.'!B3:G29,MATCH(25,B4:B30,0),4)</f>
        <v>-0.19999999999999929</v>
      </c>
      <c r="G28" s="57">
        <f>INDEX('4_s.bezr.pow.'!B3:G29,MATCH(25,B4:B30,0),5)</f>
        <v>19.8</v>
      </c>
      <c r="H28" s="36">
        <f>INDEX('4_s.bezr.pow.'!B3:G29,MATCH(25,B4:B30,0),6)</f>
        <v>-1.1000000000000014</v>
      </c>
    </row>
    <row r="29" spans="1:8" ht="15" x14ac:dyDescent="0.25">
      <c r="A29" s="39">
        <v>26</v>
      </c>
      <c r="B29" s="34">
        <f>RANK('4_s.bezr.pow.'!C28,'4_s.bezr.pow.'!$C$3:'4_s.bezr.pow.'!$C$29,1)+COUNTIF('4_s.bezr.pow.'!$C$3:'4_s.bezr.pow.'!C28,'4_s.bezr.pow.'!C28)-1</f>
        <v>2</v>
      </c>
      <c r="C29" s="35" t="str">
        <f>INDEX('4_s.bezr.pow.'!B3:G29,MATCH(26,B4:B30,0),1)</f>
        <v>Powiat leski</v>
      </c>
      <c r="D29" s="61">
        <f>INDEX('4_s.bezr.pow.'!B3:G29,MATCH(26,B4:B30,0),2)</f>
        <v>20</v>
      </c>
      <c r="E29" s="60">
        <f>INDEX('4_s.bezr.pow.'!B3:G29,MATCH(26,B4:B30,0),3)</f>
        <v>20</v>
      </c>
      <c r="F29" s="66">
        <f>INDEX('4_s.bezr.pow.'!B3:G29,MATCH(26,B4:B30,0),4)</f>
        <v>0</v>
      </c>
      <c r="G29" s="60">
        <f>INDEX('4_s.bezr.pow.'!B3:G29,MATCH(26,B4:B30,0),5)</f>
        <v>19.7</v>
      </c>
      <c r="H29" s="66">
        <f>INDEX('4_s.bezr.pow.'!B3:G29,MATCH(26,B4:B30,0),6)</f>
        <v>0.30000000000000071</v>
      </c>
    </row>
    <row r="30" spans="1:8" x14ac:dyDescent="0.2">
      <c r="A30" s="39">
        <v>27</v>
      </c>
      <c r="B30" s="67">
        <f>RANK('4_s.bezr.pow.'!C29,'4_s.bezr.pow.'!$C$3:'4_s.bezr.pow.'!$C$29,1)+COUNTIF('4_s.bezr.pow.'!$C$3:'4_s.bezr.pow.'!C29,'4_s.bezr.pow.'!C29)-1</f>
        <v>7</v>
      </c>
      <c r="C30" s="68" t="str">
        <f>INDEX('4_s.bezr.pow.'!B3:G29,MATCH(27,B4:B30,0),1)</f>
        <v>Powiat brzozowski</v>
      </c>
      <c r="D30" s="12">
        <f>INDEX('4_s.bezr.pow.'!B3:G29,MATCH(27,B4:B30,0),2)</f>
        <v>21.5</v>
      </c>
      <c r="E30" s="57">
        <f>INDEX('4_s.bezr.pow.'!B3:G29,MATCH(27,B4:B30,0),3)</f>
        <v>21.5</v>
      </c>
      <c r="F30" s="12">
        <f>INDEX('4_s.bezr.pow.'!B3:G29,MATCH(27,B4:B30,0),4)</f>
        <v>0</v>
      </c>
      <c r="G30" s="57">
        <f>INDEX('4_s.bezr.pow.'!B3:G29,MATCH(27,B4:B30,0),5)</f>
        <v>22.4</v>
      </c>
      <c r="H30" s="12">
        <f>INDEX('4_s.bezr.pow.'!B3:G29,MATCH(27,B4:B30,0),6)</f>
        <v>-0.89999999999999858</v>
      </c>
    </row>
    <row r="31" spans="1:8" x14ac:dyDescent="0.2">
      <c r="C31" s="81" t="s">
        <v>110</v>
      </c>
    </row>
    <row r="32" spans="1:8" x14ac:dyDescent="0.2">
      <c r="C32" s="81"/>
    </row>
  </sheetData>
  <pageMargins left="0" right="0" top="0.31496062992125984" bottom="0" header="0" footer="0"/>
  <pageSetup paperSize="9" scale="7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  <pageSetUpPr fitToPage="1"/>
  </sheetPr>
  <dimension ref="A1:M28"/>
  <sheetViews>
    <sheetView zoomScale="80" zoomScaleNormal="80" workbookViewId="0">
      <selection activeCell="B1" sqref="B1"/>
    </sheetView>
  </sheetViews>
  <sheetFormatPr defaultRowHeight="14.25" x14ac:dyDescent="0.2"/>
  <cols>
    <col min="1" max="1" width="3.7109375" style="3" customWidth="1"/>
    <col min="2" max="2" width="25.28515625" style="3" customWidth="1"/>
    <col min="3" max="3" width="18.140625" style="3" customWidth="1"/>
    <col min="4" max="4" width="17.85546875" style="3" customWidth="1"/>
    <col min="5" max="5" width="17.140625" style="3" customWidth="1"/>
    <col min="6" max="6" width="17.28515625" style="3" customWidth="1"/>
    <col min="7" max="7" width="17.5703125" style="3" customWidth="1"/>
    <col min="8" max="8" width="3" style="3" customWidth="1"/>
    <col min="9" max="9" width="24.5703125" style="3" customWidth="1"/>
    <col min="10" max="10" width="16" style="3" customWidth="1"/>
    <col min="11" max="11" width="17.42578125" style="3" customWidth="1"/>
    <col min="12" max="12" width="14.42578125" style="3" customWidth="1"/>
    <col min="13" max="14" width="3" style="3" customWidth="1"/>
    <col min="15" max="16384" width="9.140625" style="3"/>
  </cols>
  <sheetData>
    <row r="1" spans="1:12" x14ac:dyDescent="0.2">
      <c r="B1" s="2" t="s">
        <v>31</v>
      </c>
      <c r="I1" s="3" t="s">
        <v>86</v>
      </c>
    </row>
    <row r="2" spans="1:12" ht="86.25" customHeight="1" x14ac:dyDescent="0.2">
      <c r="B2" s="5" t="s">
        <v>27</v>
      </c>
      <c r="C2" s="6" t="s">
        <v>120</v>
      </c>
      <c r="D2" s="7" t="s">
        <v>105</v>
      </c>
      <c r="E2" s="6" t="s">
        <v>28</v>
      </c>
      <c r="F2" s="7" t="s">
        <v>121</v>
      </c>
      <c r="G2" s="6" t="s">
        <v>26</v>
      </c>
      <c r="I2" s="5" t="s">
        <v>27</v>
      </c>
      <c r="J2" s="6" t="str">
        <f>T('1_bezr.'!C2)</f>
        <v>liczba bezrobotnych ogółem stan na 28 II '23 r.</v>
      </c>
      <c r="K2" s="6" t="str">
        <f>T(C2)</f>
        <v>liczba bezrobotnych zam. na wsi stan na 28 II '23 r.</v>
      </c>
      <c r="L2" s="6" t="s">
        <v>95</v>
      </c>
    </row>
    <row r="3" spans="1:12" x14ac:dyDescent="0.2">
      <c r="A3" s="3">
        <v>1</v>
      </c>
      <c r="B3" s="8" t="s">
        <v>0</v>
      </c>
      <c r="C3" s="21">
        <v>751</v>
      </c>
      <c r="D3" s="9">
        <v>755</v>
      </c>
      <c r="E3" s="10">
        <f t="shared" ref="E3:E23" si="0">SUM(C3)-D3</f>
        <v>-4</v>
      </c>
      <c r="F3" s="9">
        <v>785</v>
      </c>
      <c r="G3" s="10">
        <f t="shared" ref="G3:G23" si="1">SUM(C3)-F3</f>
        <v>-34</v>
      </c>
      <c r="H3" s="11"/>
      <c r="I3" s="8" t="s">
        <v>0</v>
      </c>
      <c r="J3" s="10">
        <f>SUM('1_bezr.'!C3)</f>
        <v>1168</v>
      </c>
      <c r="K3" s="10">
        <f>SUM(C3)</f>
        <v>751</v>
      </c>
      <c r="L3" s="12">
        <f t="shared" ref="L3:L23" si="2">SUM(K3)/J3*100</f>
        <v>64.297945205479451</v>
      </c>
    </row>
    <row r="4" spans="1:12" x14ac:dyDescent="0.2">
      <c r="A4" s="3">
        <v>2</v>
      </c>
      <c r="B4" s="8" t="s">
        <v>1</v>
      </c>
      <c r="C4" s="22">
        <v>3792</v>
      </c>
      <c r="D4" s="9">
        <v>3786</v>
      </c>
      <c r="E4" s="10">
        <f t="shared" si="0"/>
        <v>6</v>
      </c>
      <c r="F4" s="9">
        <v>3985</v>
      </c>
      <c r="G4" s="10">
        <f t="shared" si="1"/>
        <v>-193</v>
      </c>
      <c r="H4" s="11"/>
      <c r="I4" s="8" t="s">
        <v>1</v>
      </c>
      <c r="J4" s="10">
        <f>SUM('1_bezr.'!C4)</f>
        <v>4127</v>
      </c>
      <c r="K4" s="10">
        <f t="shared" ref="K4:K22" si="3">SUM(C4)</f>
        <v>3792</v>
      </c>
      <c r="L4" s="12">
        <f t="shared" si="2"/>
        <v>91.882723527986428</v>
      </c>
    </row>
    <row r="5" spans="1:12" x14ac:dyDescent="0.2">
      <c r="A5" s="3">
        <v>3</v>
      </c>
      <c r="B5" s="8" t="s">
        <v>2</v>
      </c>
      <c r="C5" s="23">
        <v>1599</v>
      </c>
      <c r="D5" s="9">
        <v>1590</v>
      </c>
      <c r="E5" s="10">
        <f t="shared" si="0"/>
        <v>9</v>
      </c>
      <c r="F5" s="9">
        <v>1635</v>
      </c>
      <c r="G5" s="10">
        <f t="shared" si="1"/>
        <v>-36</v>
      </c>
      <c r="H5" s="11"/>
      <c r="I5" s="8" t="s">
        <v>2</v>
      </c>
      <c r="J5" s="10">
        <f>SUM('1_bezr.'!C5)</f>
        <v>2632</v>
      </c>
      <c r="K5" s="10">
        <f t="shared" si="3"/>
        <v>1599</v>
      </c>
      <c r="L5" s="12">
        <f t="shared" si="2"/>
        <v>60.752279635258354</v>
      </c>
    </row>
    <row r="6" spans="1:12" x14ac:dyDescent="0.2">
      <c r="A6" s="3">
        <v>4</v>
      </c>
      <c r="B6" s="8" t="s">
        <v>3</v>
      </c>
      <c r="C6" s="23">
        <v>3038</v>
      </c>
      <c r="D6" s="9">
        <v>3038</v>
      </c>
      <c r="E6" s="10">
        <f t="shared" si="0"/>
        <v>0</v>
      </c>
      <c r="F6" s="9">
        <v>3482</v>
      </c>
      <c r="G6" s="10">
        <f t="shared" si="1"/>
        <v>-444</v>
      </c>
      <c r="H6" s="11"/>
      <c r="I6" s="8" t="s">
        <v>3</v>
      </c>
      <c r="J6" s="10">
        <f>SUM('1_bezr.'!C6)</f>
        <v>4843</v>
      </c>
      <c r="K6" s="10">
        <f t="shared" si="3"/>
        <v>3038</v>
      </c>
      <c r="L6" s="12">
        <f t="shared" si="2"/>
        <v>62.729712987817464</v>
      </c>
    </row>
    <row r="7" spans="1:12" x14ac:dyDescent="0.2">
      <c r="A7" s="3">
        <v>5</v>
      </c>
      <c r="B7" s="8" t="s">
        <v>4</v>
      </c>
      <c r="C7" s="23">
        <v>3664</v>
      </c>
      <c r="D7" s="9">
        <v>3677</v>
      </c>
      <c r="E7" s="10">
        <f t="shared" si="0"/>
        <v>-13</v>
      </c>
      <c r="F7" s="9">
        <v>3849</v>
      </c>
      <c r="G7" s="10">
        <f t="shared" si="1"/>
        <v>-185</v>
      </c>
      <c r="H7" s="11"/>
      <c r="I7" s="8" t="s">
        <v>4</v>
      </c>
      <c r="J7" s="10">
        <f>SUM('1_bezr.'!C7)</f>
        <v>5156</v>
      </c>
      <c r="K7" s="10">
        <f t="shared" si="3"/>
        <v>3664</v>
      </c>
      <c r="L7" s="12">
        <f t="shared" si="2"/>
        <v>71.062839410395654</v>
      </c>
    </row>
    <row r="8" spans="1:12" x14ac:dyDescent="0.2">
      <c r="A8" s="3">
        <v>6</v>
      </c>
      <c r="B8" s="8" t="s">
        <v>5</v>
      </c>
      <c r="C8" s="23">
        <v>1504</v>
      </c>
      <c r="D8" s="9">
        <v>1473</v>
      </c>
      <c r="E8" s="10">
        <f t="shared" si="0"/>
        <v>31</v>
      </c>
      <c r="F8" s="9">
        <v>1608</v>
      </c>
      <c r="G8" s="10">
        <f t="shared" si="1"/>
        <v>-104</v>
      </c>
      <c r="H8" s="11"/>
      <c r="I8" s="8" t="s">
        <v>5</v>
      </c>
      <c r="J8" s="10">
        <f>SUM('1_bezr.'!C8)</f>
        <v>1710</v>
      </c>
      <c r="K8" s="10">
        <f t="shared" si="3"/>
        <v>1504</v>
      </c>
      <c r="L8" s="12">
        <f t="shared" si="2"/>
        <v>87.953216374269005</v>
      </c>
    </row>
    <row r="9" spans="1:12" x14ac:dyDescent="0.2">
      <c r="A9" s="3">
        <v>7</v>
      </c>
      <c r="B9" s="13" t="s">
        <v>6</v>
      </c>
      <c r="C9" s="24">
        <v>2017</v>
      </c>
      <c r="D9" s="9">
        <v>1957</v>
      </c>
      <c r="E9" s="10">
        <f t="shared" si="0"/>
        <v>60</v>
      </c>
      <c r="F9" s="9">
        <v>1911</v>
      </c>
      <c r="G9" s="10">
        <f t="shared" si="1"/>
        <v>106</v>
      </c>
      <c r="H9" s="11"/>
      <c r="I9" s="13" t="s">
        <v>6</v>
      </c>
      <c r="J9" s="10">
        <f>SUM('1_bezr.'!C9)</f>
        <v>2228</v>
      </c>
      <c r="K9" s="10">
        <f t="shared" si="3"/>
        <v>2017</v>
      </c>
      <c r="L9" s="12">
        <f t="shared" si="2"/>
        <v>90.529622980251347</v>
      </c>
    </row>
    <row r="10" spans="1:12" x14ac:dyDescent="0.2">
      <c r="A10" s="3">
        <v>8</v>
      </c>
      <c r="B10" s="8" t="s">
        <v>7</v>
      </c>
      <c r="C10" s="25">
        <v>1493</v>
      </c>
      <c r="D10" s="9">
        <v>1493</v>
      </c>
      <c r="E10" s="10">
        <f t="shared" si="0"/>
        <v>0</v>
      </c>
      <c r="F10" s="9">
        <v>1469</v>
      </c>
      <c r="G10" s="10">
        <f>SUM(C10)-F10</f>
        <v>24</v>
      </c>
      <c r="H10" s="11"/>
      <c r="I10" s="8" t="s">
        <v>7</v>
      </c>
      <c r="J10" s="10">
        <f>SUM('1_bezr.'!C10)</f>
        <v>1813</v>
      </c>
      <c r="K10" s="10">
        <f>SUM(C10)</f>
        <v>1493</v>
      </c>
      <c r="L10" s="12">
        <f t="shared" si="2"/>
        <v>82.349696635410922</v>
      </c>
    </row>
    <row r="11" spans="1:12" x14ac:dyDescent="0.2">
      <c r="A11" s="3">
        <v>9</v>
      </c>
      <c r="B11" s="8" t="s">
        <v>8</v>
      </c>
      <c r="C11" s="25">
        <v>2524</v>
      </c>
      <c r="D11" s="9">
        <v>2514</v>
      </c>
      <c r="E11" s="10">
        <f t="shared" si="0"/>
        <v>10</v>
      </c>
      <c r="F11" s="9">
        <v>2841</v>
      </c>
      <c r="G11" s="10">
        <f t="shared" si="1"/>
        <v>-317</v>
      </c>
      <c r="H11" s="11"/>
      <c r="I11" s="8" t="s">
        <v>8</v>
      </c>
      <c r="J11" s="10">
        <f>SUM('1_bezr.'!C11)</f>
        <v>3283</v>
      </c>
      <c r="K11" s="10">
        <f t="shared" si="3"/>
        <v>2524</v>
      </c>
      <c r="L11" s="12">
        <f t="shared" si="2"/>
        <v>76.880901614377095</v>
      </c>
    </row>
    <row r="12" spans="1:12" x14ac:dyDescent="0.2">
      <c r="A12" s="3">
        <v>10</v>
      </c>
      <c r="B12" s="8" t="s">
        <v>9</v>
      </c>
      <c r="C12" s="25">
        <v>1308</v>
      </c>
      <c r="D12" s="9">
        <v>1341</v>
      </c>
      <c r="E12" s="10">
        <f t="shared" si="0"/>
        <v>-33</v>
      </c>
      <c r="F12" s="9">
        <v>1387</v>
      </c>
      <c r="G12" s="10">
        <f t="shared" si="1"/>
        <v>-79</v>
      </c>
      <c r="H12" s="11"/>
      <c r="I12" s="8" t="s">
        <v>9</v>
      </c>
      <c r="J12" s="10">
        <f>SUM('1_bezr.'!C12)</f>
        <v>1954</v>
      </c>
      <c r="K12" s="10">
        <f t="shared" si="3"/>
        <v>1308</v>
      </c>
      <c r="L12" s="12">
        <f t="shared" si="2"/>
        <v>66.939611054247692</v>
      </c>
    </row>
    <row r="13" spans="1:12" x14ac:dyDescent="0.2">
      <c r="A13" s="3">
        <v>11</v>
      </c>
      <c r="B13" s="8" t="s">
        <v>10</v>
      </c>
      <c r="C13" s="25">
        <v>2199</v>
      </c>
      <c r="D13" s="9">
        <v>2207</v>
      </c>
      <c r="E13" s="10">
        <f t="shared" si="0"/>
        <v>-8</v>
      </c>
      <c r="F13" s="9">
        <v>2720</v>
      </c>
      <c r="G13" s="10">
        <f t="shared" si="1"/>
        <v>-521</v>
      </c>
      <c r="H13" s="11"/>
      <c r="I13" s="8" t="s">
        <v>10</v>
      </c>
      <c r="J13" s="10">
        <f>SUM('1_bezr.'!C13)</f>
        <v>2797</v>
      </c>
      <c r="K13" s="10">
        <f t="shared" si="3"/>
        <v>2199</v>
      </c>
      <c r="L13" s="12">
        <f t="shared" si="2"/>
        <v>78.619949946371122</v>
      </c>
    </row>
    <row r="14" spans="1:12" x14ac:dyDescent="0.2">
      <c r="A14" s="3">
        <v>12</v>
      </c>
      <c r="B14" s="8" t="s">
        <v>11</v>
      </c>
      <c r="C14" s="25">
        <v>1403</v>
      </c>
      <c r="D14" s="9">
        <v>1373</v>
      </c>
      <c r="E14" s="10">
        <f t="shared" si="0"/>
        <v>30</v>
      </c>
      <c r="F14" s="9">
        <v>1444</v>
      </c>
      <c r="G14" s="10">
        <f t="shared" si="1"/>
        <v>-41</v>
      </c>
      <c r="H14" s="11"/>
      <c r="I14" s="8" t="s">
        <v>11</v>
      </c>
      <c r="J14" s="10">
        <f>SUM('1_bezr.'!C14)</f>
        <v>2769</v>
      </c>
      <c r="K14" s="10">
        <f t="shared" si="3"/>
        <v>1403</v>
      </c>
      <c r="L14" s="12">
        <f t="shared" si="2"/>
        <v>50.668111231491508</v>
      </c>
    </row>
    <row r="15" spans="1:12" x14ac:dyDescent="0.2">
      <c r="A15" s="3">
        <v>13</v>
      </c>
      <c r="B15" s="8" t="s">
        <v>12</v>
      </c>
      <c r="C15" s="25">
        <v>2120</v>
      </c>
      <c r="D15" s="9">
        <v>2171</v>
      </c>
      <c r="E15" s="10">
        <f t="shared" si="0"/>
        <v>-51</v>
      </c>
      <c r="F15" s="9">
        <v>2221</v>
      </c>
      <c r="G15" s="10">
        <f t="shared" si="1"/>
        <v>-101</v>
      </c>
      <c r="H15" s="11"/>
      <c r="I15" s="8" t="s">
        <v>12</v>
      </c>
      <c r="J15" s="10">
        <f>SUM('1_bezr.'!C15)</f>
        <v>3248</v>
      </c>
      <c r="K15" s="10">
        <f t="shared" si="3"/>
        <v>2120</v>
      </c>
      <c r="L15" s="12">
        <f t="shared" si="2"/>
        <v>65.270935960591132</v>
      </c>
    </row>
    <row r="16" spans="1:12" x14ac:dyDescent="0.2">
      <c r="A16" s="3">
        <v>14</v>
      </c>
      <c r="B16" s="8" t="s">
        <v>13</v>
      </c>
      <c r="C16" s="25">
        <v>3126</v>
      </c>
      <c r="D16" s="9">
        <v>3191</v>
      </c>
      <c r="E16" s="10">
        <f t="shared" si="0"/>
        <v>-65</v>
      </c>
      <c r="F16" s="9">
        <v>3684</v>
      </c>
      <c r="G16" s="10">
        <f t="shared" si="1"/>
        <v>-558</v>
      </c>
      <c r="H16" s="11"/>
      <c r="I16" s="8" t="s">
        <v>13</v>
      </c>
      <c r="J16" s="10">
        <f>SUM('1_bezr.'!C16)</f>
        <v>3149</v>
      </c>
      <c r="K16" s="10">
        <f t="shared" si="3"/>
        <v>3126</v>
      </c>
      <c r="L16" s="12">
        <f t="shared" si="2"/>
        <v>99.269609399809468</v>
      </c>
    </row>
    <row r="17" spans="1:13" x14ac:dyDescent="0.2">
      <c r="A17" s="3">
        <v>15</v>
      </c>
      <c r="B17" s="8" t="s">
        <v>14</v>
      </c>
      <c r="C17" s="25">
        <v>2746</v>
      </c>
      <c r="D17" s="9">
        <v>2828</v>
      </c>
      <c r="E17" s="10">
        <f t="shared" si="0"/>
        <v>-82</v>
      </c>
      <c r="F17" s="9">
        <v>2935</v>
      </c>
      <c r="G17" s="10">
        <f t="shared" si="1"/>
        <v>-189</v>
      </c>
      <c r="H17" s="11"/>
      <c r="I17" s="8" t="s">
        <v>14</v>
      </c>
      <c r="J17" s="10">
        <f>SUM('1_bezr.'!C17)</f>
        <v>3596</v>
      </c>
      <c r="K17" s="10">
        <f t="shared" si="3"/>
        <v>2746</v>
      </c>
      <c r="L17" s="12">
        <f t="shared" si="2"/>
        <v>76.362625139043388</v>
      </c>
      <c r="M17" s="14"/>
    </row>
    <row r="18" spans="1:13" x14ac:dyDescent="0.2">
      <c r="A18" s="3">
        <v>16</v>
      </c>
      <c r="B18" s="8" t="s">
        <v>15</v>
      </c>
      <c r="C18" s="25">
        <v>1849</v>
      </c>
      <c r="D18" s="9">
        <v>1875</v>
      </c>
      <c r="E18" s="10">
        <f t="shared" si="0"/>
        <v>-26</v>
      </c>
      <c r="F18" s="9">
        <v>2130</v>
      </c>
      <c r="G18" s="10">
        <f t="shared" si="1"/>
        <v>-281</v>
      </c>
      <c r="H18" s="11"/>
      <c r="I18" s="8" t="s">
        <v>15</v>
      </c>
      <c r="J18" s="10">
        <f>SUM('1_bezr.'!C18)</f>
        <v>2836</v>
      </c>
      <c r="K18" s="10">
        <f t="shared" si="3"/>
        <v>1849</v>
      </c>
      <c r="L18" s="12">
        <f t="shared" si="2"/>
        <v>65.197461212976023</v>
      </c>
    </row>
    <row r="19" spans="1:13" x14ac:dyDescent="0.2">
      <c r="A19" s="3">
        <v>17</v>
      </c>
      <c r="B19" s="8" t="s">
        <v>16</v>
      </c>
      <c r="C19" s="25">
        <v>4049</v>
      </c>
      <c r="D19" s="9">
        <v>4013</v>
      </c>
      <c r="E19" s="10">
        <f t="shared" si="0"/>
        <v>36</v>
      </c>
      <c r="F19" s="9">
        <v>4542</v>
      </c>
      <c r="G19" s="10">
        <f t="shared" si="1"/>
        <v>-493</v>
      </c>
      <c r="H19" s="11"/>
      <c r="I19" s="8" t="s">
        <v>16</v>
      </c>
      <c r="J19" s="10">
        <f>SUM('1_bezr.'!C19)</f>
        <v>5092</v>
      </c>
      <c r="K19" s="10">
        <f t="shared" si="3"/>
        <v>4049</v>
      </c>
      <c r="L19" s="12">
        <f t="shared" si="2"/>
        <v>79.516889238020426</v>
      </c>
    </row>
    <row r="20" spans="1:13" x14ac:dyDescent="0.2">
      <c r="A20" s="3">
        <v>18</v>
      </c>
      <c r="B20" s="8" t="s">
        <v>17</v>
      </c>
      <c r="C20" s="25">
        <v>1635</v>
      </c>
      <c r="D20" s="9">
        <v>1633</v>
      </c>
      <c r="E20" s="10">
        <f t="shared" si="0"/>
        <v>2</v>
      </c>
      <c r="F20" s="9">
        <v>1496</v>
      </c>
      <c r="G20" s="10">
        <f t="shared" si="1"/>
        <v>139</v>
      </c>
      <c r="H20" s="11"/>
      <c r="I20" s="8" t="s">
        <v>17</v>
      </c>
      <c r="J20" s="10">
        <f>SUM('1_bezr.'!C20)</f>
        <v>2840</v>
      </c>
      <c r="K20" s="10">
        <f t="shared" si="3"/>
        <v>1635</v>
      </c>
      <c r="L20" s="12">
        <f t="shared" si="2"/>
        <v>57.570422535211264</v>
      </c>
    </row>
    <row r="21" spans="1:13" x14ac:dyDescent="0.2">
      <c r="A21" s="3">
        <v>19</v>
      </c>
      <c r="B21" s="8" t="s">
        <v>18</v>
      </c>
      <c r="C21" s="25">
        <v>840</v>
      </c>
      <c r="D21" s="9">
        <v>847</v>
      </c>
      <c r="E21" s="10">
        <f t="shared" si="0"/>
        <v>-7</v>
      </c>
      <c r="F21" s="9">
        <v>970</v>
      </c>
      <c r="G21" s="10">
        <f t="shared" si="1"/>
        <v>-130</v>
      </c>
      <c r="H21" s="11"/>
      <c r="I21" s="8" t="s">
        <v>18</v>
      </c>
      <c r="J21" s="10">
        <f>SUM('1_bezr.'!C21)</f>
        <v>2013</v>
      </c>
      <c r="K21" s="10">
        <f t="shared" si="3"/>
        <v>840</v>
      </c>
      <c r="L21" s="12">
        <f t="shared" si="2"/>
        <v>41.728763040238448</v>
      </c>
    </row>
    <row r="22" spans="1:13" x14ac:dyDescent="0.2">
      <c r="A22" s="3">
        <v>20</v>
      </c>
      <c r="B22" s="8" t="s">
        <v>19</v>
      </c>
      <c r="C22" s="25">
        <v>3050</v>
      </c>
      <c r="D22" s="9">
        <v>3085</v>
      </c>
      <c r="E22" s="10">
        <f t="shared" si="0"/>
        <v>-35</v>
      </c>
      <c r="F22" s="9">
        <v>3261</v>
      </c>
      <c r="G22" s="10">
        <f t="shared" si="1"/>
        <v>-211</v>
      </c>
      <c r="H22" s="11"/>
      <c r="I22" s="8" t="s">
        <v>19</v>
      </c>
      <c r="J22" s="10">
        <f>SUM('1_bezr.'!C22)</f>
        <v>3417</v>
      </c>
      <c r="K22" s="10">
        <f t="shared" si="3"/>
        <v>3050</v>
      </c>
      <c r="L22" s="12">
        <f t="shared" si="2"/>
        <v>89.259584430787243</v>
      </c>
    </row>
    <row r="23" spans="1:13" x14ac:dyDescent="0.2">
      <c r="A23" s="3">
        <v>21</v>
      </c>
      <c r="B23" s="8" t="s">
        <v>20</v>
      </c>
      <c r="C23" s="25">
        <v>1119</v>
      </c>
      <c r="D23" s="9">
        <v>1118</v>
      </c>
      <c r="E23" s="10">
        <f t="shared" si="0"/>
        <v>1</v>
      </c>
      <c r="F23" s="9">
        <v>1371</v>
      </c>
      <c r="G23" s="10">
        <f t="shared" si="1"/>
        <v>-252</v>
      </c>
      <c r="H23" s="11"/>
      <c r="I23" s="8" t="s">
        <v>20</v>
      </c>
      <c r="J23" s="10">
        <f>SUM('1_bezr.'!C23)</f>
        <v>1376</v>
      </c>
      <c r="K23" s="10">
        <f>SUM(C23)</f>
        <v>1119</v>
      </c>
      <c r="L23" s="12">
        <f t="shared" si="2"/>
        <v>81.322674418604649</v>
      </c>
    </row>
    <row r="24" spans="1:13" ht="15" x14ac:dyDescent="0.25">
      <c r="A24" s="3">
        <v>22</v>
      </c>
      <c r="B24" s="15" t="s">
        <v>25</v>
      </c>
      <c r="C24" s="16">
        <f>SUM(C3:C23)</f>
        <v>45826</v>
      </c>
      <c r="D24" s="17">
        <f>SUM(D3:D23)</f>
        <v>45965</v>
      </c>
      <c r="E24" s="16">
        <f>SUM(E3:E23)</f>
        <v>-139</v>
      </c>
      <c r="F24" s="17">
        <f>SUM(F3:F23)</f>
        <v>49726</v>
      </c>
      <c r="G24" s="16">
        <f>SUM(G3:G23)</f>
        <v>-3900</v>
      </c>
      <c r="H24" s="11"/>
      <c r="I24" s="8" t="s">
        <v>21</v>
      </c>
      <c r="J24" s="10">
        <f>SUM('1_bezr.'!C24)</f>
        <v>802</v>
      </c>
      <c r="K24" s="18" t="s">
        <v>29</v>
      </c>
      <c r="L24" s="19" t="s">
        <v>29</v>
      </c>
    </row>
    <row r="25" spans="1:13" x14ac:dyDescent="0.2">
      <c r="C25" s="83"/>
      <c r="I25" s="8" t="s">
        <v>22</v>
      </c>
      <c r="J25" s="10">
        <f>SUM('1_bezr.'!C25)</f>
        <v>2556</v>
      </c>
      <c r="K25" s="18" t="s">
        <v>29</v>
      </c>
      <c r="L25" s="19" t="s">
        <v>29</v>
      </c>
    </row>
    <row r="26" spans="1:13" x14ac:dyDescent="0.2">
      <c r="I26" s="8" t="s">
        <v>23</v>
      </c>
      <c r="J26" s="10">
        <f>SUM('1_bezr.'!C26)</f>
        <v>5508</v>
      </c>
      <c r="K26" s="18" t="s">
        <v>29</v>
      </c>
      <c r="L26" s="19" t="s">
        <v>29</v>
      </c>
    </row>
    <row r="27" spans="1:13" x14ac:dyDescent="0.2">
      <c r="I27" s="8" t="s">
        <v>24</v>
      </c>
      <c r="J27" s="10">
        <f>SUM('1_bezr.'!C27)</f>
        <v>1155</v>
      </c>
      <c r="K27" s="18" t="s">
        <v>29</v>
      </c>
      <c r="L27" s="19" t="s">
        <v>29</v>
      </c>
    </row>
    <row r="28" spans="1:13" ht="15" x14ac:dyDescent="0.25">
      <c r="H28" s="11"/>
      <c r="I28" s="15" t="s">
        <v>25</v>
      </c>
      <c r="J28" s="16">
        <f>SUM(J3:J27)</f>
        <v>72068</v>
      </c>
      <c r="K28" s="16">
        <f>SUM(K3:K23)</f>
        <v>45826</v>
      </c>
      <c r="L28" s="20">
        <f>SUM(K28)/J28*100</f>
        <v>63.587167674973635</v>
      </c>
    </row>
  </sheetData>
  <printOptions horizontalCentered="1" verticalCentered="1"/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1_bezr.</vt:lpstr>
      <vt:lpstr>1_sort</vt:lpstr>
      <vt:lpstr>2_kob.</vt:lpstr>
      <vt:lpstr>2_sort</vt:lpstr>
      <vt:lpstr>3_s.bezr.Polska</vt:lpstr>
      <vt:lpstr>3_sort</vt:lpstr>
      <vt:lpstr>4_s.bezr.pow.</vt:lpstr>
      <vt:lpstr>4_sort</vt:lpstr>
      <vt:lpstr>5_bezr. na wsi</vt:lpstr>
      <vt:lpstr>5_sort</vt:lpstr>
      <vt:lpstr>6_długot.</vt:lpstr>
      <vt:lpstr>6_sort</vt:lpstr>
      <vt:lpstr>7_do 30 r.ż.</vt:lpstr>
      <vt:lpstr>7_sort</vt:lpstr>
      <vt:lpstr>8_pow. 50 r.ż.</vt:lpstr>
      <vt:lpstr>8_sort</vt:lpstr>
      <vt:lpstr>9_oferty p.</vt:lpstr>
      <vt:lpstr>9_sort</vt:lpstr>
      <vt:lpstr>10_oferty s.</vt:lpstr>
      <vt:lpstr>10_sort</vt:lpstr>
      <vt:lpstr>11_of st. k.</vt:lpstr>
      <vt:lpstr>11_sort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Piotr Kocaj</cp:lastModifiedBy>
  <cp:lastPrinted>2023-02-24T06:50:21Z</cp:lastPrinted>
  <dcterms:created xsi:type="dcterms:W3CDTF">2016-08-02T05:46:03Z</dcterms:created>
  <dcterms:modified xsi:type="dcterms:W3CDTF">2023-03-24T08:07:02Z</dcterms:modified>
</cp:coreProperties>
</file>