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7 -'23\"/>
    </mc:Choice>
  </mc:AlternateContent>
  <xr:revisionPtr revIDLastSave="0" documentId="13_ncr:1_{67B3FF24-1041-430D-8165-74C11D661E04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s.bezr.Pol" sheetId="8" r:id="rId5"/>
    <sheet name="3sort" sheetId="16" r:id="rId6"/>
    <sheet name="4s.bezr.pow." sheetId="13" r:id="rId7"/>
    <sheet name="4sort" sheetId="17" r:id="rId8"/>
    <sheet name="5bezr. na wsi" sheetId="2" r:id="rId9"/>
    <sheet name="5sort" sheetId="18" r:id="rId10"/>
    <sheet name="6długot." sheetId="3" r:id="rId11"/>
    <sheet name="6sort" sheetId="19" r:id="rId12"/>
    <sheet name="7do 30 r.ż." sheetId="4" r:id="rId13"/>
    <sheet name="7sort" sheetId="20" r:id="rId14"/>
    <sheet name="8pow. 50 r.ż." sheetId="5" r:id="rId15"/>
    <sheet name="8sort" sheetId="21" r:id="rId16"/>
    <sheet name="9oferty p." sheetId="6" r:id="rId17"/>
    <sheet name="9sort" sheetId="22" r:id="rId18"/>
    <sheet name="10oferty s." sheetId="11" r:id="rId19"/>
    <sheet name="10sort" sheetId="23" r:id="rId20"/>
    <sheet name="11of st. k." sheetId="26" r:id="rId21"/>
    <sheet name="11sort" sheetId="27" r:id="rId22"/>
    <sheet name="K1" sheetId="28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28" l="1"/>
  <c r="L9" i="28"/>
  <c r="U9" i="28"/>
  <c r="T9" i="28"/>
  <c r="U24" i="28"/>
  <c r="T24" i="28"/>
  <c r="AA28" i="28"/>
  <c r="H53" i="28"/>
  <c r="AA9" i="28" l="1"/>
  <c r="AA24" i="28"/>
  <c r="R3" i="28"/>
  <c r="Q3" i="28"/>
  <c r="P28" i="28" l="1"/>
  <c r="O28" i="28"/>
  <c r="N28" i="28"/>
  <c r="M28" i="28"/>
  <c r="J28" i="28"/>
  <c r="I28" i="28"/>
  <c r="G28" i="28"/>
  <c r="F28" i="28"/>
  <c r="D28" i="28"/>
  <c r="C28" i="28"/>
  <c r="H32" i="28" l="1"/>
  <c r="G32" i="28"/>
  <c r="F57" i="28"/>
  <c r="E57" i="28"/>
  <c r="D57" i="28"/>
  <c r="C57" i="28"/>
  <c r="H56" i="28"/>
  <c r="G56" i="28"/>
  <c r="H55" i="28"/>
  <c r="G55" i="28"/>
  <c r="H54" i="28"/>
  <c r="G54" i="28"/>
  <c r="G53" i="28"/>
  <c r="H52" i="28"/>
  <c r="G52" i="28"/>
  <c r="H51" i="28"/>
  <c r="G51" i="28"/>
  <c r="H50" i="28"/>
  <c r="G50" i="28"/>
  <c r="H49" i="28"/>
  <c r="G49" i="28"/>
  <c r="H48" i="28"/>
  <c r="G48" i="28"/>
  <c r="H47" i="28"/>
  <c r="G47" i="28"/>
  <c r="H46" i="28"/>
  <c r="G46" i="28"/>
  <c r="H45" i="28"/>
  <c r="G45" i="28"/>
  <c r="H44" i="28"/>
  <c r="G44" i="28"/>
  <c r="H43" i="28"/>
  <c r="G43" i="28"/>
  <c r="H42" i="28"/>
  <c r="G42" i="28"/>
  <c r="H41" i="28"/>
  <c r="G41" i="28"/>
  <c r="H40" i="28"/>
  <c r="G40" i="28"/>
  <c r="H39" i="28"/>
  <c r="G39" i="28"/>
  <c r="H38" i="28"/>
  <c r="G38" i="28"/>
  <c r="H37" i="28"/>
  <c r="G37" i="28"/>
  <c r="H36" i="28"/>
  <c r="G36" i="28"/>
  <c r="H35" i="28"/>
  <c r="G35" i="28"/>
  <c r="H34" i="28"/>
  <c r="G34" i="28"/>
  <c r="H33" i="28"/>
  <c r="G33" i="28"/>
  <c r="D28" i="3"/>
  <c r="R27" i="28"/>
  <c r="Q27" i="28"/>
  <c r="K27" i="28"/>
  <c r="H27" i="28"/>
  <c r="E27" i="28"/>
  <c r="R26" i="28"/>
  <c r="Q26" i="28"/>
  <c r="K26" i="28"/>
  <c r="H26" i="28"/>
  <c r="E26" i="28"/>
  <c r="R25" i="28"/>
  <c r="Q25" i="28"/>
  <c r="K25" i="28"/>
  <c r="H25" i="28"/>
  <c r="E25" i="28"/>
  <c r="R24" i="28"/>
  <c r="Q24" i="28"/>
  <c r="K24" i="28"/>
  <c r="H24" i="28"/>
  <c r="E24" i="28"/>
  <c r="R23" i="28"/>
  <c r="Q23" i="28"/>
  <c r="K23" i="28"/>
  <c r="H23" i="28"/>
  <c r="E23" i="28"/>
  <c r="R22" i="28"/>
  <c r="Q22" i="28"/>
  <c r="K22" i="28"/>
  <c r="H22" i="28"/>
  <c r="E22" i="28"/>
  <c r="R21" i="28"/>
  <c r="Q21" i="28"/>
  <c r="K21" i="28"/>
  <c r="H21" i="28"/>
  <c r="E21" i="28"/>
  <c r="R20" i="28"/>
  <c r="Q20" i="28"/>
  <c r="K20" i="28"/>
  <c r="H20" i="28"/>
  <c r="E20" i="28"/>
  <c r="R19" i="28"/>
  <c r="Q19" i="28"/>
  <c r="K19" i="28"/>
  <c r="H19" i="28"/>
  <c r="E19" i="28"/>
  <c r="R18" i="28"/>
  <c r="Q18" i="28"/>
  <c r="K18" i="28"/>
  <c r="H18" i="28"/>
  <c r="E18" i="28"/>
  <c r="R17" i="28"/>
  <c r="Q17" i="28"/>
  <c r="K17" i="28"/>
  <c r="H17" i="28"/>
  <c r="E17" i="28"/>
  <c r="R16" i="28"/>
  <c r="Q16" i="28"/>
  <c r="K16" i="28"/>
  <c r="H16" i="28"/>
  <c r="E16" i="28"/>
  <c r="R15" i="28"/>
  <c r="Q15" i="28"/>
  <c r="K15" i="28"/>
  <c r="H15" i="28"/>
  <c r="E15" i="28"/>
  <c r="R14" i="28"/>
  <c r="Q14" i="28"/>
  <c r="K14" i="28"/>
  <c r="H14" i="28"/>
  <c r="E14" i="28"/>
  <c r="R13" i="28"/>
  <c r="Q13" i="28"/>
  <c r="K13" i="28"/>
  <c r="H13" i="28"/>
  <c r="E13" i="28"/>
  <c r="R12" i="28"/>
  <c r="Q12" i="28"/>
  <c r="K12" i="28"/>
  <c r="H12" i="28"/>
  <c r="E12" i="28"/>
  <c r="R11" i="28"/>
  <c r="Q11" i="28"/>
  <c r="K11" i="28"/>
  <c r="H11" i="28"/>
  <c r="E11" i="28"/>
  <c r="R10" i="28"/>
  <c r="Q10" i="28"/>
  <c r="K10" i="28"/>
  <c r="H10" i="28"/>
  <c r="E10" i="28"/>
  <c r="Q9" i="28"/>
  <c r="K9" i="28"/>
  <c r="H9" i="28"/>
  <c r="E9" i="28"/>
  <c r="R8" i="28"/>
  <c r="Q8" i="28"/>
  <c r="K8" i="28"/>
  <c r="H8" i="28"/>
  <c r="E8" i="28"/>
  <c r="R7" i="28"/>
  <c r="Q7" i="28"/>
  <c r="K7" i="28"/>
  <c r="H7" i="28"/>
  <c r="E7" i="28"/>
  <c r="R6" i="28"/>
  <c r="Q6" i="28"/>
  <c r="K6" i="28"/>
  <c r="H6" i="28"/>
  <c r="E6" i="28"/>
  <c r="R5" i="28"/>
  <c r="U3" i="28" s="1"/>
  <c r="Q5" i="28"/>
  <c r="K5" i="28"/>
  <c r="H5" i="28"/>
  <c r="E5" i="28"/>
  <c r="R4" i="28"/>
  <c r="Q4" i="28"/>
  <c r="K4" i="28"/>
  <c r="H4" i="28"/>
  <c r="E4" i="28"/>
  <c r="K3" i="28"/>
  <c r="H3" i="28"/>
  <c r="E3" i="28"/>
  <c r="X3" i="14"/>
  <c r="W3" i="14"/>
  <c r="D28" i="6"/>
  <c r="F28" i="1"/>
  <c r="D24" i="2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A3" i="28" l="1"/>
  <c r="R28" i="28"/>
  <c r="L4" i="28"/>
  <c r="Q28" i="28"/>
  <c r="L16" i="28"/>
  <c r="H28" i="28"/>
  <c r="L3" i="28"/>
  <c r="E28" i="28"/>
  <c r="K28" i="28"/>
  <c r="L7" i="28"/>
  <c r="L19" i="28"/>
  <c r="L15" i="28"/>
  <c r="L13" i="28"/>
  <c r="L21" i="28"/>
  <c r="L12" i="28"/>
  <c r="U15" i="28"/>
  <c r="AA15" i="28" s="1"/>
  <c r="U27" i="28"/>
  <c r="AA27" i="28" s="1"/>
  <c r="G57" i="28"/>
  <c r="H57" i="28"/>
  <c r="U8" i="28"/>
  <c r="AA8" i="28" s="1"/>
  <c r="U20" i="28"/>
  <c r="AA20" i="28" s="1"/>
  <c r="U13" i="28"/>
  <c r="AA13" i="28" s="1"/>
  <c r="U25" i="28"/>
  <c r="AA25" i="28" s="1"/>
  <c r="U6" i="28"/>
  <c r="AA6" i="28" s="1"/>
  <c r="U18" i="28"/>
  <c r="AA18" i="28" s="1"/>
  <c r="U11" i="28"/>
  <c r="AA11" i="28" s="1"/>
  <c r="U23" i="28"/>
  <c r="AA23" i="28" s="1"/>
  <c r="U4" i="28"/>
  <c r="AA4" i="28" s="1"/>
  <c r="U16" i="28"/>
  <c r="AA16" i="28" s="1"/>
  <c r="U21" i="28"/>
  <c r="AA21" i="28" s="1"/>
  <c r="U14" i="28"/>
  <c r="AA14" i="28" s="1"/>
  <c r="U26" i="28"/>
  <c r="AA26" i="28" s="1"/>
  <c r="U7" i="28"/>
  <c r="AA7" i="28" s="1"/>
  <c r="U19" i="28"/>
  <c r="AA19" i="28" s="1"/>
  <c r="U12" i="28"/>
  <c r="AA12" i="28" s="1"/>
  <c r="U5" i="28"/>
  <c r="AA5" i="28" s="1"/>
  <c r="U17" i="28"/>
  <c r="AA17" i="28" s="1"/>
  <c r="U10" i="28"/>
  <c r="AA10" i="28" s="1"/>
  <c r="U22" i="28"/>
  <c r="AA22" i="28" s="1"/>
  <c r="L24" i="28"/>
  <c r="L6" i="28"/>
  <c r="L18" i="28"/>
  <c r="L27" i="28"/>
  <c r="L14" i="28"/>
  <c r="L26" i="28"/>
  <c r="L5" i="28"/>
  <c r="L17" i="28"/>
  <c r="L10" i="28"/>
  <c r="L22" i="28"/>
  <c r="L8" i="28"/>
  <c r="L20" i="28"/>
  <c r="L25" i="28"/>
  <c r="L11" i="28"/>
  <c r="L23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E12" i="13"/>
  <c r="G12" i="13"/>
  <c r="Y3" i="28" l="1"/>
  <c r="L28" i="28"/>
  <c r="T3" i="28"/>
  <c r="X18" i="28"/>
  <c r="X6" i="28"/>
  <c r="X8" i="28"/>
  <c r="X25" i="28"/>
  <c r="Y18" i="28"/>
  <c r="X3" i="28"/>
  <c r="Y25" i="28"/>
  <c r="X7" i="28"/>
  <c r="Y23" i="28"/>
  <c r="X20" i="28"/>
  <c r="X23" i="28"/>
  <c r="Y16" i="28"/>
  <c r="Y6" i="28"/>
  <c r="Y5" i="28"/>
  <c r="Y7" i="28"/>
  <c r="X5" i="28"/>
  <c r="X10" i="28"/>
  <c r="X22" i="28"/>
  <c r="Y27" i="28"/>
  <c r="Y4" i="28"/>
  <c r="X21" i="28"/>
  <c r="X11" i="28"/>
  <c r="Y8" i="28"/>
  <c r="Y11" i="28"/>
  <c r="X24" i="28"/>
  <c r="X13" i="28"/>
  <c r="Y15" i="28"/>
  <c r="Y13" i="28"/>
  <c r="Y10" i="28"/>
  <c r="X14" i="28"/>
  <c r="X26" i="28"/>
  <c r="Y20" i="28"/>
  <c r="Y17" i="28"/>
  <c r="Y26" i="28"/>
  <c r="X12" i="28"/>
  <c r="X15" i="28"/>
  <c r="X27" i="28"/>
  <c r="Y19" i="28"/>
  <c r="X4" i="28"/>
  <c r="X16" i="28"/>
  <c r="Y21" i="28"/>
  <c r="Y9" i="28"/>
  <c r="X17" i="28"/>
  <c r="Y22" i="28"/>
  <c r="Y12" i="28"/>
  <c r="X9" i="28"/>
  <c r="Y14" i="28"/>
  <c r="X19" i="28"/>
  <c r="Y24" i="28"/>
  <c r="T21" i="28"/>
  <c r="T8" i="28"/>
  <c r="T10" i="28"/>
  <c r="T12" i="28"/>
  <c r="T26" i="28"/>
  <c r="T23" i="28"/>
  <c r="T25" i="28"/>
  <c r="T13" i="28"/>
  <c r="T19" i="28"/>
  <c r="T15" i="28"/>
  <c r="T7" i="28"/>
  <c r="T27" i="28"/>
  <c r="T22" i="28"/>
  <c r="T14" i="28"/>
  <c r="T18" i="28"/>
  <c r="T5" i="28"/>
  <c r="T16" i="28"/>
  <c r="T4" i="28"/>
  <c r="T20" i="28"/>
  <c r="T17" i="28"/>
  <c r="T6" i="28"/>
  <c r="T11" i="28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V3" i="28" l="1"/>
  <c r="W7" i="28"/>
  <c r="V7" i="28"/>
  <c r="W3" i="28"/>
  <c r="V13" i="28"/>
  <c r="W4" i="28"/>
  <c r="V15" i="28"/>
  <c r="W5" i="28"/>
  <c r="V19" i="28"/>
  <c r="W13" i="28"/>
  <c r="V27" i="28"/>
  <c r="V16" i="28"/>
  <c r="V17" i="28"/>
  <c r="V8" i="28"/>
  <c r="W22" i="28"/>
  <c r="V10" i="28"/>
  <c r="V22" i="28"/>
  <c r="W24" i="28"/>
  <c r="W14" i="28"/>
  <c r="W18" i="28"/>
  <c r="V20" i="28"/>
  <c r="W20" i="28"/>
  <c r="V21" i="28"/>
  <c r="V11" i="28"/>
  <c r="V23" i="28"/>
  <c r="W25" i="28"/>
  <c r="W19" i="28"/>
  <c r="W17" i="28"/>
  <c r="V9" i="28"/>
  <c r="W23" i="28"/>
  <c r="W12" i="28"/>
  <c r="V12" i="28"/>
  <c r="V24" i="28"/>
  <c r="W26" i="28"/>
  <c r="W6" i="28"/>
  <c r="V6" i="28"/>
  <c r="W10" i="28"/>
  <c r="W21" i="28"/>
  <c r="V4" i="28"/>
  <c r="W15" i="28"/>
  <c r="V25" i="28"/>
  <c r="W27" i="28"/>
  <c r="W8" i="28"/>
  <c r="V14" i="28"/>
  <c r="V26" i="28"/>
  <c r="W16" i="28"/>
  <c r="W9" i="28"/>
  <c r="V5" i="28"/>
  <c r="W11" i="28"/>
  <c r="V18" i="28"/>
  <c r="J28" i="2"/>
  <c r="J28" i="10"/>
  <c r="F28" i="3" l="1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B4" i="14" s="1"/>
  <c r="B29" i="14" l="1"/>
  <c r="B6" i="14" l="1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F11" i="14" l="1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D28" i="10" l="1"/>
  <c r="G6" i="13" l="1"/>
  <c r="E6" i="13"/>
  <c r="G27" i="10" l="1"/>
  <c r="G10" i="2" l="1"/>
  <c r="B19" i="16" l="1"/>
  <c r="E27" i="10" l="1"/>
  <c r="F28" i="6" l="1"/>
  <c r="C28" i="6"/>
  <c r="C28" i="4" l="1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D28" i="1"/>
  <c r="E29" i="14" l="1"/>
  <c r="E28" i="1"/>
  <c r="F24" i="2"/>
  <c r="V29" i="14" l="1"/>
  <c r="V6" i="14"/>
  <c r="V11" i="14"/>
  <c r="V17" i="14"/>
  <c r="V18" i="14"/>
  <c r="V23" i="14"/>
  <c r="V24" i="14"/>
  <c r="V25" i="14"/>
  <c r="V26" i="14"/>
  <c r="V8" i="14"/>
  <c r="V21" i="14"/>
  <c r="V16" i="14"/>
  <c r="V7" i="14"/>
  <c r="V14" i="14"/>
  <c r="V12" i="14"/>
  <c r="V28" i="14"/>
  <c r="V4" i="14"/>
  <c r="V10" i="14"/>
  <c r="V19" i="14"/>
  <c r="V20" i="14"/>
  <c r="V27" i="14"/>
  <c r="V15" i="14"/>
  <c r="V22" i="14"/>
  <c r="V13" i="14"/>
  <c r="V5" i="14"/>
  <c r="V9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7" i="14" l="1"/>
  <c r="W9" i="14"/>
  <c r="W27" i="14"/>
  <c r="X18" i="14"/>
  <c r="X10" i="14"/>
  <c r="X26" i="14"/>
  <c r="X16" i="14"/>
  <c r="W7" i="14"/>
  <c r="X21" i="14"/>
  <c r="W19" i="14"/>
  <c r="W10" i="14"/>
  <c r="W22" i="14"/>
  <c r="W21" i="14"/>
  <c r="W16" i="14"/>
  <c r="X4" i="14"/>
  <c r="X22" i="14"/>
  <c r="X12" i="14"/>
  <c r="X9" i="14"/>
  <c r="W11" i="14"/>
  <c r="X15" i="14"/>
  <c r="X28" i="14"/>
  <c r="W23" i="14"/>
  <c r="W18" i="14"/>
  <c r="W25" i="14"/>
  <c r="W24" i="14"/>
  <c r="W5" i="14"/>
  <c r="X19" i="14"/>
  <c r="X11" i="14"/>
  <c r="W13" i="14"/>
  <c r="W17" i="14"/>
  <c r="X5" i="14"/>
  <c r="X23" i="14"/>
  <c r="W15" i="14"/>
  <c r="W29" i="14"/>
  <c r="W8" i="14"/>
  <c r="X24" i="14"/>
  <c r="W12" i="14"/>
  <c r="X6" i="14"/>
  <c r="W4" i="14"/>
  <c r="X17" i="14"/>
  <c r="W20" i="14"/>
  <c r="X25" i="14"/>
  <c r="W28" i="14"/>
  <c r="X29" i="14"/>
  <c r="X8" i="14"/>
  <c r="X13" i="14"/>
  <c r="X7" i="14"/>
  <c r="W6" i="14"/>
  <c r="X20" i="14"/>
  <c r="W14" i="14"/>
  <c r="W26" i="14"/>
  <c r="X14" i="14"/>
  <c r="E28" i="10"/>
  <c r="G28" i="10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X30" i="14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B20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D14" i="16"/>
  <c r="E5" i="16"/>
  <c r="E13" i="16"/>
  <c r="F12" i="16"/>
  <c r="G7" i="16"/>
  <c r="H6" i="16"/>
  <c r="C14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5" i="16"/>
  <c r="C13" i="16"/>
  <c r="C20" i="16"/>
  <c r="C6" i="16"/>
  <c r="C4" i="16"/>
  <c r="C8" i="16"/>
  <c r="C12" i="16"/>
  <c r="C16" i="16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H3" i="17"/>
  <c r="G3" i="17"/>
  <c r="F3" i="17"/>
  <c r="E3" i="17"/>
  <c r="D3" i="17"/>
  <c r="C3" i="17"/>
  <c r="H3" i="16"/>
  <c r="G3" i="16"/>
  <c r="F3" i="16"/>
  <c r="E3" i="16"/>
  <c r="D3" i="16"/>
  <c r="C3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H3" i="18"/>
  <c r="G3" i="18"/>
  <c r="F3" i="18"/>
  <c r="E3" i="18"/>
  <c r="D3" i="18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G28" i="1" l="1"/>
  <c r="H29" i="14" s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D26" i="19" l="1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4" i="18"/>
  <c r="D20" i="18"/>
  <c r="D16" i="18"/>
  <c r="D12" i="18"/>
  <c r="D8" i="18"/>
  <c r="D4" i="18"/>
  <c r="D19" i="18"/>
  <c r="D11" i="18"/>
  <c r="D25" i="18"/>
  <c r="D21" i="18"/>
  <c r="D17" i="18"/>
  <c r="D13" i="18"/>
  <c r="D9" i="18"/>
  <c r="D5" i="18"/>
  <c r="D23" i="18"/>
  <c r="D15" i="18"/>
  <c r="D7" i="18"/>
  <c r="D14" i="18"/>
  <c r="D10" i="18"/>
  <c r="D22" i="18"/>
  <c r="D6" i="18"/>
  <c r="D18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E10" i="18"/>
  <c r="C16" i="18"/>
  <c r="E18" i="18"/>
  <c r="C24" i="18"/>
  <c r="C7" i="18"/>
  <c r="E9" i="18"/>
  <c r="C15" i="18"/>
  <c r="E17" i="18"/>
  <c r="C23" i="18"/>
  <c r="E25" i="18"/>
  <c r="C10" i="18"/>
  <c r="E12" i="18"/>
  <c r="C18" i="18"/>
  <c r="E20" i="18"/>
  <c r="G9" i="18"/>
  <c r="G17" i="18"/>
  <c r="G25" i="18"/>
  <c r="G8" i="18"/>
  <c r="G16" i="18"/>
  <c r="G24" i="18"/>
  <c r="G7" i="18"/>
  <c r="G15" i="18"/>
  <c r="G23" i="18"/>
  <c r="G10" i="18"/>
  <c r="G18" i="18"/>
  <c r="C5" i="18"/>
  <c r="E7" i="18"/>
  <c r="C13" i="18"/>
  <c r="E15" i="18"/>
  <c r="C21" i="18"/>
  <c r="E23" i="18"/>
  <c r="E4" i="18"/>
  <c r="E6" i="18"/>
  <c r="C12" i="18"/>
  <c r="E14" i="18"/>
  <c r="C20" i="18"/>
  <c r="E22" i="18"/>
  <c r="E5" i="18"/>
  <c r="C11" i="18"/>
  <c r="E13" i="18"/>
  <c r="C19" i="18"/>
  <c r="E21" i="18"/>
  <c r="C6" i="18"/>
  <c r="E8" i="18"/>
  <c r="C14" i="18"/>
  <c r="E16" i="18"/>
  <c r="C22" i="18"/>
  <c r="E24" i="18"/>
  <c r="G5" i="18"/>
  <c r="G13" i="18"/>
  <c r="G21" i="18"/>
  <c r="G4" i="18"/>
  <c r="G12" i="18"/>
  <c r="G20" i="18"/>
  <c r="G11" i="18"/>
  <c r="G19" i="18"/>
  <c r="G6" i="18"/>
  <c r="G14" i="18"/>
  <c r="G22" i="18"/>
  <c r="C9" i="18"/>
  <c r="E11" i="18"/>
  <c r="C17" i="18"/>
  <c r="E19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C28" i="5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H27" i="21" s="1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F27" i="21" s="1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H27" i="20" s="1"/>
  <c r="G5" i="4"/>
  <c r="G4" i="4"/>
  <c r="G3" i="4"/>
  <c r="H6" i="20" s="1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F6" i="20" s="1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7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26" i="21" l="1"/>
  <c r="G28" i="6"/>
  <c r="H25" i="21"/>
  <c r="F26" i="21"/>
  <c r="F25" i="20"/>
  <c r="E28" i="3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E28" i="4"/>
  <c r="F28" i="20" s="1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<sst xmlns="http://schemas.openxmlformats.org/spreadsheetml/2006/main" count="535" uniqueCount="158">
  <si>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</si>
  <si>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</si>
  <si>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</si>
  <si>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</si>
  <si>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</si>
  <si>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</si>
  <si>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</si>
  <si>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</si>
  <si>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</si>
  <si>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</si>
  <si>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</si>
  <si>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</si>
  <si>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</si>
  <si>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</si>
  <si>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</si>
  <si>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</si>
  <si>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</si>
  <si>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</si>
  <si>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</si>
  <si>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</si>
  <si>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</si>
  <si>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</si>
  <si>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</si>
  <si>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</si>
  <si>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</si>
  <si>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</si>
  <si>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</si>
  <si>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</si>
  <si>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</si>
  <si>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</si>
  <si>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</si>
  <si>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</si>
  <si>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</si>
  <si>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</si>
  <si>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</si>
  <si>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</si>
  <si>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</si>
  <si>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</si>
  <si>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</si>
  <si>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</si>
  <si>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</si>
  <si>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</si>
  <si>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</si>
  <si>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</si>
  <si>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</si>
  <si>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</si>
  <si>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</si>
  <si>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</si>
  <si>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</si>
  <si>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</si>
  <si>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</si>
  <si>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</si>
  <si>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</si>
  <si>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</si>
  <si>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</si>
  <si>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</si>
  <si>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</si>
  <si>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</si>
  <si>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</si>
  <si>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</si>
  <si>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</si>
  <si>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</si>
  <si>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</si>
  <si>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</si>
  <si>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</si>
  <si>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</si>
  <si>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</si>
  <si>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</si>
  <si>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</si>
  <si>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</si>
  <si>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</si>
  <si>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</si>
  <si>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</si>
  <si>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</si>
  <si>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</si>
  <si>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</si>
  <si>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wzrost/spadek do analogicznego okresu ubr. (pkt. proc.)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</si>
  <si>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</si>
  <si>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</si>
  <si>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</si>
  <si>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</si>
  <si>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wzrost lub spadek do poprzedniego miesiąca (pkt. proc.)</t>
  </si>
  <si>
    <t>wzrost lub spadek do analogicznego okresu ubr. (pkt. proc.)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</si>
  <si>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</si>
  <si>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</si>
  <si>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</si>
  <si>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</si>
  <si>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</si>
  <si>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</si>
  <si>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Stopa bezrobocia rejestrowanego - wg województw</t>
  </si>
  <si>
    <t>Stopa bezrobocia rejestrowanego - wg powiatów w województwie podkarpackim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</si>
  <si>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</si>
  <si>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</si>
  <si>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</si>
  <si>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</si>
  <si>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</si>
  <si>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</si>
  <si>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</si>
  <si>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</si>
  <si>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Oferty pracy ogółem według stanu na koniec miesiąca</t>
  </si>
  <si>
    <t>(wolne miejsca pracy i miejsca aktywizacji zawodowej)</t>
  </si>
  <si>
    <t>Oferty pracy ogółem według stanu na koniec miesiąca (wolne miejsca pracy i miejsca aktywizacji zawodowej) wg powiatów</t>
  </si>
  <si>
    <t>* GUS - BDL.</t>
  </si>
  <si>
    <t>Spadki wzrosty liczba bezrobotnych w województwie podkarpackim wg powiatów</t>
  </si>
  <si>
    <t>X</t>
  </si>
  <si>
    <t>Y</t>
  </si>
  <si>
    <t>różnica niesybsydiowane</t>
  </si>
  <si>
    <t xml:space="preserve">róznica subsydiowane </t>
  </si>
  <si>
    <t>Różnca staże</t>
  </si>
  <si>
    <t>Suma różnic</t>
  </si>
  <si>
    <t>stan na 31-12-2022</t>
  </si>
  <si>
    <t>spr.</t>
  </si>
  <si>
    <t>wzrost/spadek</t>
  </si>
  <si>
    <t>lokata X</t>
  </si>
  <si>
    <t>lokata Y</t>
  </si>
  <si>
    <t>tarnobrzeski</t>
  </si>
  <si>
    <t>Pokdarpacie</t>
  </si>
  <si>
    <t>Korelacja podjęć pracy z napływem i odpływem liczby bezrobotnych</t>
  </si>
  <si>
    <t>liczba bezrobotnych ogółem stan na 30 VI '23 r.</t>
  </si>
  <si>
    <t>liczba bezrobotnych kobiet stan na 30 VI '23 r.</t>
  </si>
  <si>
    <t>Stopa bezrobocia stan na 30 VI '23 r. (w proc.)*</t>
  </si>
  <si>
    <t>liczba bezrobotnych zam. na wsi stan na 30 VI '23 r.</t>
  </si>
  <si>
    <t>liczba bezrobotnych pow. 12 m-cy stan na 30 VI '23 r.</t>
  </si>
  <si>
    <t>liczba bezrobotnych do 30 r. ż. stan na 30 VI '23 r.</t>
  </si>
  <si>
    <t>liczba bezrobotnych 50+ stan na 30 VI '23 r.</t>
  </si>
  <si>
    <t>liczba ofert w VI '23 r.</t>
  </si>
  <si>
    <t>stan na 31-12-2021</t>
  </si>
  <si>
    <t>liczba bezrobotnych ogółem stan na 31 VII '23 r.</t>
  </si>
  <si>
    <t>liczba bezrobotnych ogółem stan na 31 VII '22 r.</t>
  </si>
  <si>
    <t>liczba bezrobotnych kobiet stan na 31 VII '23 r.</t>
  </si>
  <si>
    <t>liczba bezrobotnych kobiet stan na 31 VII '22 r.</t>
  </si>
  <si>
    <t>Stopa bezrobocia stan na 31 VII '23 r. (w proc.)*</t>
  </si>
  <si>
    <t>Stopa bezrobocia stan na 31 VII '22 r. (w proc.)*</t>
  </si>
  <si>
    <t>Stopa bezrobocia stan na 31 VII '22 r. w proc.*</t>
  </si>
  <si>
    <t>Stopa bezrobocia stan na 31 VII '23 r. w proc.*</t>
  </si>
  <si>
    <t>Stopa bezrobocia stan na 30 VI '23 r. w proc. *</t>
  </si>
  <si>
    <t>liczba bezrobotnych zam. na wsi stan na 31 VII '23 r.</t>
  </si>
  <si>
    <t>liczba bezrobotnych zam. na wsi stan na 31 VII '22 r.</t>
  </si>
  <si>
    <t>liczba bezrobotnych pow. 12 m-cy,  stan na 31 VII '22 r.</t>
  </si>
  <si>
    <t>liczba bezrobotnych pow. 12 m-cy stan na 31 VII '23 r.</t>
  </si>
  <si>
    <t>liczba bezrobotnych do 30 r. ż. stan na 31 VII '22 r.</t>
  </si>
  <si>
    <t>liczba bezrobotnych do 30 r. ż. stan na 31 VII '23 r.</t>
  </si>
  <si>
    <t>liczba bezrobotnych 50+ stan na 31 VII '23 r.</t>
  </si>
  <si>
    <t>liczba bezrobotnych 50+ stan na 31 VII '22 r.</t>
  </si>
  <si>
    <t>liczba ofert w VII '22 r.</t>
  </si>
  <si>
    <t>liczba ofert w VII '23 r.</t>
  </si>
  <si>
    <t>podjecia pracy niesubs. I-VII 2023</t>
  </si>
  <si>
    <t>podjecia pracy niesubs. I-VII 2022</t>
  </si>
  <si>
    <t>praca subs. I-VII 2022</t>
  </si>
  <si>
    <t>praca subs. I-VII 2023</t>
  </si>
  <si>
    <t>staże I-VII 2022</t>
  </si>
  <si>
    <t>staże I-VII 2023</t>
  </si>
  <si>
    <t>napływ 01-01-2023 do 31-07-2023</t>
  </si>
  <si>
    <t>odpływ 01-01-2023 do 31-07-2023</t>
  </si>
  <si>
    <t>napływ 01-01-2022 do 31-07-2022</t>
  </si>
  <si>
    <t>odpływ 01-01-2022 do 31-07-2022</t>
  </si>
  <si>
    <t>stan na 31-07-2022</t>
  </si>
  <si>
    <t>stan na 31-07-2023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</si>
</sst>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FF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2B3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right" vertical="center"/>
    </xf>
    <xf numFmtId="0" fontId="10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95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0" xfId="2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13" fillId="2" borderId="13" xfId="4" quotePrefix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1" fontId="13" fillId="2" borderId="1" xfId="1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9" fillId="2" borderId="10" xfId="4" quotePrefix="1" applyFont="1" applyFill="1" applyBorder="1" applyAlignment="1">
      <alignment horizontal="left" vertical="center" wrapText="1"/>
    </xf>
    <xf numFmtId="1" fontId="9" fillId="2" borderId="12" xfId="1" applyNumberFormat="1" applyFont="1" applyFill="1" applyBorder="1" applyAlignment="1">
      <alignment horizontal="center" vertical="center" wrapText="1"/>
    </xf>
    <xf numFmtId="0" fontId="9" fillId="2" borderId="13" xfId="4" quotePrefix="1" applyFont="1" applyFill="1" applyBorder="1" applyAlignment="1">
      <alignment horizontal="left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9" fillId="2" borderId="15" xfId="4" quotePrefix="1" applyFont="1" applyFill="1" applyBorder="1" applyAlignment="1">
      <alignment horizontal="left" vertical="center" wrapText="1"/>
    </xf>
    <xf numFmtId="1" fontId="9" fillId="2" borderId="16" xfId="1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3" fillId="3" borderId="20" xfId="3" quotePrefix="1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/>
    </xf>
    <xf numFmtId="2" fontId="9" fillId="3" borderId="22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/>
    <xf numFmtId="0" fontId="9" fillId="3" borderId="24" xfId="0" applyFont="1" applyFill="1" applyBorder="1" applyAlignment="1">
      <alignment horizontal="center" vertical="center"/>
    </xf>
    <xf numFmtId="1" fontId="9" fillId="3" borderId="24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3" fillId="2" borderId="15" xfId="4" quotePrefix="1" applyFont="1" applyFill="1" applyBorder="1" applyAlignment="1">
      <alignment horizontal="left" vertical="center" wrapText="1"/>
    </xf>
    <xf numFmtId="1" fontId="13" fillId="2" borderId="16" xfId="1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1" fontId="9" fillId="3" borderId="25" xfId="0" applyNumberFormat="1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1" fontId="13" fillId="2" borderId="14" xfId="1" applyNumberFormat="1" applyFont="1" applyFill="1" applyBorder="1" applyAlignment="1">
      <alignment horizontal="center" vertical="center" wrapText="1"/>
    </xf>
    <xf numFmtId="0" fontId="13" fillId="5" borderId="20" xfId="3" quotePrefix="1" applyFont="1" applyFill="1" applyBorder="1" applyAlignment="1">
      <alignment horizontal="left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1" fontId="9" fillId="2" borderId="27" xfId="0" applyNumberFormat="1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1" fontId="9" fillId="3" borderId="30" xfId="0" applyNumberFormat="1" applyFont="1" applyFill="1" applyBorder="1" applyAlignment="1">
      <alignment horizontal="center" vertical="center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 wrapText="1"/>
    </xf>
    <xf numFmtId="1" fontId="9" fillId="5" borderId="26" xfId="0" applyNumberFormat="1" applyFont="1" applyFill="1" applyBorder="1" applyAlignment="1">
      <alignment horizontal="center" vertical="center" wrapText="1"/>
    </xf>
    <xf numFmtId="3" fontId="9" fillId="5" borderId="21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1" fontId="9" fillId="9" borderId="14" xfId="1" applyNumberFormat="1" applyFont="1" applyFill="1" applyBorder="1" applyAlignment="1">
      <alignment horizontal="center" vertical="center" wrapText="1"/>
    </xf>
    <xf numFmtId="1" fontId="9" fillId="9" borderId="17" xfId="1" applyNumberFormat="1" applyFont="1" applyFill="1" applyBorder="1" applyAlignment="1">
      <alignment horizontal="center" vertical="center" wrapText="1"/>
    </xf>
    <xf numFmtId="1" fontId="13" fillId="9" borderId="14" xfId="1" applyNumberFormat="1" applyFont="1" applyFill="1" applyBorder="1" applyAlignment="1">
      <alignment horizontal="center" vertical="center" wrapText="1"/>
    </xf>
    <xf numFmtId="1" fontId="13" fillId="9" borderId="17" xfId="1" applyNumberFormat="1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1" fontId="9" fillId="9" borderId="34" xfId="0" applyNumberFormat="1" applyFont="1" applyFill="1" applyBorder="1" applyAlignment="1">
      <alignment horizontal="center" vertical="center"/>
    </xf>
    <xf numFmtId="1" fontId="9" fillId="9" borderId="33" xfId="0" applyNumberFormat="1" applyFont="1" applyFill="1" applyBorder="1" applyAlignment="1">
      <alignment horizontal="center" vertical="center"/>
    </xf>
    <xf numFmtId="1" fontId="9" fillId="9" borderId="11" xfId="0" applyNumberFormat="1" applyFont="1" applyFill="1" applyBorder="1" applyAlignment="1">
      <alignment horizontal="center" vertical="center"/>
    </xf>
    <xf numFmtId="1" fontId="9" fillId="9" borderId="14" xfId="0" applyNumberFormat="1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1" fontId="15" fillId="2" borderId="10" xfId="0" applyNumberFormat="1" applyFont="1" applyFill="1" applyBorder="1" applyAlignment="1">
      <alignment horizontal="center" vertical="center"/>
    </xf>
    <xf numFmtId="1" fontId="15" fillId="2" borderId="18" xfId="0" applyNumberFormat="1" applyFont="1" applyFill="1" applyBorder="1" applyAlignment="1">
      <alignment horizontal="center" vertical="center"/>
    </xf>
    <xf numFmtId="1" fontId="15" fillId="3" borderId="21" xfId="0" applyNumberFormat="1" applyFont="1" applyFill="1" applyBorder="1" applyAlignment="1">
      <alignment horizontal="center" vertical="center" wrapText="1"/>
    </xf>
    <xf numFmtId="3" fontId="15" fillId="3" borderId="21" xfId="0" applyNumberFormat="1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 wrapText="1"/>
    </xf>
    <xf numFmtId="1" fontId="9" fillId="2" borderId="37" xfId="0" applyNumberFormat="1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1" fontId="15" fillId="2" borderId="37" xfId="0" applyNumberFormat="1" applyFont="1" applyFill="1" applyBorder="1" applyAlignment="1">
      <alignment horizontal="center" vertical="center"/>
    </xf>
    <xf numFmtId="1" fontId="9" fillId="2" borderId="14" xfId="0" applyNumberFormat="1" applyFont="1" applyFill="1" applyBorder="1" applyAlignment="1">
      <alignment horizontal="center" vertical="center"/>
    </xf>
    <xf numFmtId="3" fontId="2" fillId="10" borderId="1" xfId="0" applyNumberFormat="1" applyFont="1" applyFill="1" applyBorder="1" applyAlignment="1">
      <alignment horizontal="center" vertical="center"/>
    </xf>
  </cellXfs>
  <cellStyles count="5">
    <cellStyle name="Hiperłącze" xfId="2" builtinId="8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FF2B3"/>
      <color rgb="FF0000FF"/>
      <color rgb="FFFFEE9B"/>
      <color rgb="FFCCFFCC"/>
      <color rgb="FFFEF1E6"/>
      <color rgb="FFFFCC00"/>
      <color rgb="FFFFD700"/>
      <color rgb="FFFDEADA"/>
      <color rgb="FFFFCC99"/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 województwie podkarpackim wg powiatów</a:t>
            </a:r>
          </a:p>
        </c:rich>
      </c:tx>
      <c:layout>
        <c:manualLayout>
          <c:xMode val="edge"/>
          <c:yMode val="edge"/>
          <c:x val="0.21175836008271273"/>
          <c:y val="2.7793857119877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dębicki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mielecki</c:v>
                </c:pt>
                <c:pt idx="16">
                  <c:v>leżajski</c:v>
                </c:pt>
                <c:pt idx="17">
                  <c:v>strzyżowski</c:v>
                </c:pt>
                <c:pt idx="18">
                  <c:v>niżański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716</c:v>
                </c:pt>
                <c:pt idx="1">
                  <c:v>997</c:v>
                </c:pt>
                <c:pt idx="2">
                  <c:v>1075</c:v>
                </c:pt>
                <c:pt idx="3">
                  <c:v>1233</c:v>
                </c:pt>
                <c:pt idx="4">
                  <c:v>1510</c:v>
                </c:pt>
                <c:pt idx="5">
                  <c:v>1528</c:v>
                </c:pt>
                <c:pt idx="6">
                  <c:v>1616</c:v>
                </c:pt>
                <c:pt idx="7">
                  <c:v>1891</c:v>
                </c:pt>
                <c:pt idx="8">
                  <c:v>2095</c:v>
                </c:pt>
                <c:pt idx="9">
                  <c:v>2374</c:v>
                </c:pt>
                <c:pt idx="10">
                  <c:v>2386</c:v>
                </c:pt>
                <c:pt idx="11">
                  <c:v>2519</c:v>
                </c:pt>
                <c:pt idx="12">
                  <c:v>2569</c:v>
                </c:pt>
                <c:pt idx="13">
                  <c:v>2657</c:v>
                </c:pt>
                <c:pt idx="14">
                  <c:v>2740</c:v>
                </c:pt>
                <c:pt idx="15">
                  <c:v>2837</c:v>
                </c:pt>
                <c:pt idx="16">
                  <c:v>2933</c:v>
                </c:pt>
                <c:pt idx="17">
                  <c:v>3007</c:v>
                </c:pt>
                <c:pt idx="18">
                  <c:v>3032</c:v>
                </c:pt>
                <c:pt idx="19">
                  <c:v>3268</c:v>
                </c:pt>
                <c:pt idx="20">
                  <c:v>3608</c:v>
                </c:pt>
                <c:pt idx="21">
                  <c:v>4222</c:v>
                </c:pt>
                <c:pt idx="22">
                  <c:v>4618</c:v>
                </c:pt>
                <c:pt idx="23">
                  <c:v>4709</c:v>
                </c:pt>
                <c:pt idx="24">
                  <c:v>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dębicki</c:v>
                </c:pt>
                <c:pt idx="10">
                  <c:v>ropczycko-sędziszowski</c:v>
                </c:pt>
                <c:pt idx="11">
                  <c:v>łańcucki</c:v>
                </c:pt>
                <c:pt idx="12">
                  <c:v>sanocki</c:v>
                </c:pt>
                <c:pt idx="13">
                  <c:v>przeworski</c:v>
                </c:pt>
                <c:pt idx="14">
                  <c:v>przemyski</c:v>
                </c:pt>
                <c:pt idx="15">
                  <c:v>leżajski</c:v>
                </c:pt>
                <c:pt idx="16">
                  <c:v>Przemyśl</c:v>
                </c:pt>
                <c:pt idx="17">
                  <c:v>strzyżowski</c:v>
                </c:pt>
                <c:pt idx="18">
                  <c:v>mielecki</c:v>
                </c:pt>
                <c:pt idx="19">
                  <c:v>niżański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jasielski</c:v>
                </c:pt>
                <c:pt idx="23">
                  <c:v>rzeszowski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162</c:v>
                </c:pt>
                <c:pt idx="1">
                  <c:v>249</c:v>
                </c:pt>
                <c:pt idx="2">
                  <c:v>294</c:v>
                </c:pt>
                <c:pt idx="3">
                  <c:v>351</c:v>
                </c:pt>
                <c:pt idx="4">
                  <c:v>381</c:v>
                </c:pt>
                <c:pt idx="5">
                  <c:v>394</c:v>
                </c:pt>
                <c:pt idx="6">
                  <c:v>462</c:v>
                </c:pt>
                <c:pt idx="7">
                  <c:v>501</c:v>
                </c:pt>
                <c:pt idx="8">
                  <c:v>549</c:v>
                </c:pt>
                <c:pt idx="9">
                  <c:v>567</c:v>
                </c:pt>
                <c:pt idx="10">
                  <c:v>572</c:v>
                </c:pt>
                <c:pt idx="11">
                  <c:v>579</c:v>
                </c:pt>
                <c:pt idx="12">
                  <c:v>621</c:v>
                </c:pt>
                <c:pt idx="13">
                  <c:v>669</c:v>
                </c:pt>
                <c:pt idx="14">
                  <c:v>679</c:v>
                </c:pt>
                <c:pt idx="15">
                  <c:v>684</c:v>
                </c:pt>
                <c:pt idx="16">
                  <c:v>701</c:v>
                </c:pt>
                <c:pt idx="17">
                  <c:v>720</c:v>
                </c:pt>
                <c:pt idx="18">
                  <c:v>731</c:v>
                </c:pt>
                <c:pt idx="19">
                  <c:v>738</c:v>
                </c:pt>
                <c:pt idx="20">
                  <c:v>918</c:v>
                </c:pt>
                <c:pt idx="21">
                  <c:v>1066</c:v>
                </c:pt>
                <c:pt idx="22">
                  <c:v>1097</c:v>
                </c:pt>
                <c:pt idx="23">
                  <c:v>1125</c:v>
                </c:pt>
                <c:pt idx="24">
                  <c:v>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przemyski</c:v>
                </c:pt>
                <c:pt idx="1">
                  <c:v>leski</c:v>
                </c:pt>
                <c:pt idx="2">
                  <c:v>bieszczadzki</c:v>
                </c:pt>
                <c:pt idx="3">
                  <c:v>Przemyśl</c:v>
                </c:pt>
                <c:pt idx="4">
                  <c:v>brzozowski</c:v>
                </c:pt>
                <c:pt idx="5">
                  <c:v>łańcucki</c:v>
                </c:pt>
                <c:pt idx="6">
                  <c:v>leżajski</c:v>
                </c:pt>
                <c:pt idx="7">
                  <c:v>Tarnobrzeg</c:v>
                </c:pt>
                <c:pt idx="8">
                  <c:v>Krosno</c:v>
                </c:pt>
                <c:pt idx="9">
                  <c:v>ropczycko-sędziszowski</c:v>
                </c:pt>
                <c:pt idx="10">
                  <c:v>kolbuszowski</c:v>
                </c:pt>
                <c:pt idx="11">
                  <c:v>sanocki</c:v>
                </c:pt>
                <c:pt idx="12">
                  <c:v>tarnobrzeski </c:v>
                </c:pt>
                <c:pt idx="13">
                  <c:v>stalowowolski</c:v>
                </c:pt>
                <c:pt idx="14">
                  <c:v>niżański</c:v>
                </c:pt>
                <c:pt idx="15">
                  <c:v>lubaczowski</c:v>
                </c:pt>
                <c:pt idx="16">
                  <c:v>krośnieński</c:v>
                </c:pt>
                <c:pt idx="17">
                  <c:v>strzyżowski</c:v>
                </c:pt>
                <c:pt idx="18">
                  <c:v>rzeszowski</c:v>
                </c:pt>
                <c:pt idx="19">
                  <c:v>jasielski</c:v>
                </c:pt>
                <c:pt idx="20">
                  <c:v>dębicki</c:v>
                </c:pt>
                <c:pt idx="21">
                  <c:v>mielecki</c:v>
                </c:pt>
                <c:pt idx="22">
                  <c:v>jarosławski</c:v>
                </c:pt>
                <c:pt idx="23">
                  <c:v>przeworski</c:v>
                </c:pt>
                <c:pt idx="24">
                  <c:v>Rzeszów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21</c:v>
                </c:pt>
                <c:pt idx="1">
                  <c:v>23</c:v>
                </c:pt>
                <c:pt idx="2">
                  <c:v>25</c:v>
                </c:pt>
                <c:pt idx="3">
                  <c:v>55</c:v>
                </c:pt>
                <c:pt idx="4">
                  <c:v>56</c:v>
                </c:pt>
                <c:pt idx="5">
                  <c:v>58</c:v>
                </c:pt>
                <c:pt idx="6">
                  <c:v>59</c:v>
                </c:pt>
                <c:pt idx="7">
                  <c:v>69</c:v>
                </c:pt>
                <c:pt idx="8">
                  <c:v>72</c:v>
                </c:pt>
                <c:pt idx="9">
                  <c:v>83</c:v>
                </c:pt>
                <c:pt idx="10">
                  <c:v>90</c:v>
                </c:pt>
                <c:pt idx="11">
                  <c:v>90</c:v>
                </c:pt>
                <c:pt idx="12">
                  <c:v>91</c:v>
                </c:pt>
                <c:pt idx="13">
                  <c:v>96</c:v>
                </c:pt>
                <c:pt idx="14">
                  <c:v>105</c:v>
                </c:pt>
                <c:pt idx="15">
                  <c:v>111</c:v>
                </c:pt>
                <c:pt idx="16">
                  <c:v>131</c:v>
                </c:pt>
                <c:pt idx="17">
                  <c:v>144</c:v>
                </c:pt>
                <c:pt idx="18">
                  <c:v>155</c:v>
                </c:pt>
                <c:pt idx="19">
                  <c:v>191</c:v>
                </c:pt>
                <c:pt idx="20">
                  <c:v>220</c:v>
                </c:pt>
                <c:pt idx="21">
                  <c:v>271</c:v>
                </c:pt>
                <c:pt idx="22">
                  <c:v>273</c:v>
                </c:pt>
                <c:pt idx="23">
                  <c:v>282</c:v>
                </c:pt>
                <c:pt idx="24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'10sort'!$C$4:$C$28</c:f>
              <c:strCache>
                <c:ptCount val="25"/>
                <c:pt idx="0">
                  <c:v>przemyski</c:v>
                </c:pt>
                <c:pt idx="1">
                  <c:v>Tarnobrzeg</c:v>
                </c:pt>
                <c:pt idx="2">
                  <c:v>leski</c:v>
                </c:pt>
                <c:pt idx="3">
                  <c:v>bieszczadzki</c:v>
                </c:pt>
                <c:pt idx="4">
                  <c:v>tarnobrzeski </c:v>
                </c:pt>
                <c:pt idx="5">
                  <c:v>Krosno</c:v>
                </c:pt>
                <c:pt idx="6">
                  <c:v>krośnieński</c:v>
                </c:pt>
                <c:pt idx="7">
                  <c:v>łańcucki</c:v>
                </c:pt>
                <c:pt idx="8">
                  <c:v>ropczycko-sędziszowski</c:v>
                </c:pt>
                <c:pt idx="9">
                  <c:v>sanocki</c:v>
                </c:pt>
                <c:pt idx="10">
                  <c:v>stalowowolski</c:v>
                </c:pt>
                <c:pt idx="11">
                  <c:v>Przemyśl</c:v>
                </c:pt>
                <c:pt idx="12">
                  <c:v>rzeszowski</c:v>
                </c:pt>
                <c:pt idx="13">
                  <c:v>leżajski</c:v>
                </c:pt>
                <c:pt idx="14">
                  <c:v>lubaczowski</c:v>
                </c:pt>
                <c:pt idx="15">
                  <c:v>niżański</c:v>
                </c:pt>
                <c:pt idx="16">
                  <c:v>brzozowski</c:v>
                </c:pt>
                <c:pt idx="17">
                  <c:v>kolbuszowski</c:v>
                </c:pt>
                <c:pt idx="18">
                  <c:v>dębicki</c:v>
                </c:pt>
                <c:pt idx="19">
                  <c:v>mielecki</c:v>
                </c:pt>
                <c:pt idx="20">
                  <c:v>przeworski</c:v>
                </c:pt>
                <c:pt idx="21">
                  <c:v>jarosławski</c:v>
                </c:pt>
                <c:pt idx="22">
                  <c:v>strzyżowski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'10sort'!$D$4:$D$28</c:f>
              <c:numCache>
                <c:formatCode>#,##0</c:formatCode>
                <c:ptCount val="25"/>
                <c:pt idx="0" formatCode="General">
                  <c:v>8</c:v>
                </c:pt>
                <c:pt idx="1">
                  <c:v>20</c:v>
                </c:pt>
                <c:pt idx="2">
                  <c:v>21</c:v>
                </c:pt>
                <c:pt idx="3">
                  <c:v>23</c:v>
                </c:pt>
                <c:pt idx="4">
                  <c:v>25</c:v>
                </c:pt>
                <c:pt idx="5">
                  <c:v>29</c:v>
                </c:pt>
                <c:pt idx="6">
                  <c:v>31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  <c:pt idx="11">
                  <c:v>36</c:v>
                </c:pt>
                <c:pt idx="12">
                  <c:v>37</c:v>
                </c:pt>
                <c:pt idx="13">
                  <c:v>42</c:v>
                </c:pt>
                <c:pt idx="14">
                  <c:v>44</c:v>
                </c:pt>
                <c:pt idx="15">
                  <c:v>51</c:v>
                </c:pt>
                <c:pt idx="16">
                  <c:v>52</c:v>
                </c:pt>
                <c:pt idx="17">
                  <c:v>59</c:v>
                </c:pt>
                <c:pt idx="18">
                  <c:v>61</c:v>
                </c:pt>
                <c:pt idx="19">
                  <c:v>66</c:v>
                </c:pt>
                <c:pt idx="20">
                  <c:v>84</c:v>
                </c:pt>
                <c:pt idx="21">
                  <c:v>89</c:v>
                </c:pt>
                <c:pt idx="22">
                  <c:v>94</c:v>
                </c:pt>
                <c:pt idx="23">
                  <c:v>109</c:v>
                </c:pt>
                <c:pt idx="2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'11sort'!$B$1</c:f>
              <c:strCache>
                <c:ptCount val="1"/>
                <c:pt idx="0">
                  <c:v>Oferty pracy ogółem według stanu na koniec miesiąca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'11sort'!$C$4:$C$28</c:f>
              <c:strCache>
                <c:ptCount val="25"/>
                <c:pt idx="0">
                  <c:v>brzozowski</c:v>
                </c:pt>
                <c:pt idx="1">
                  <c:v>leski</c:v>
                </c:pt>
                <c:pt idx="2">
                  <c:v>przemyski</c:v>
                </c:pt>
                <c:pt idx="3">
                  <c:v>Przemyśl</c:v>
                </c:pt>
                <c:pt idx="4">
                  <c:v>bieszczadzki</c:v>
                </c:pt>
                <c:pt idx="5">
                  <c:v>łańcucki</c:v>
                </c:pt>
                <c:pt idx="6">
                  <c:v>Krosno</c:v>
                </c:pt>
                <c:pt idx="7">
                  <c:v>kolbuszowski</c:v>
                </c:pt>
                <c:pt idx="8">
                  <c:v>krośnieński</c:v>
                </c:pt>
                <c:pt idx="9">
                  <c:v>ropczycko-sędziszowski</c:v>
                </c:pt>
                <c:pt idx="10">
                  <c:v>Tarnobrzeg</c:v>
                </c:pt>
                <c:pt idx="11">
                  <c:v>leżajski</c:v>
                </c:pt>
                <c:pt idx="12">
                  <c:v>niżański</c:v>
                </c:pt>
                <c:pt idx="13">
                  <c:v>tarnobrzeski </c:v>
                </c:pt>
                <c:pt idx="14">
                  <c:v>stalowowolski</c:v>
                </c:pt>
                <c:pt idx="15">
                  <c:v>sanocki</c:v>
                </c:pt>
                <c:pt idx="16">
                  <c:v>lubaczowski</c:v>
                </c:pt>
                <c:pt idx="17">
                  <c:v>strzyżowski</c:v>
                </c:pt>
                <c:pt idx="18">
                  <c:v>rzeszowski</c:v>
                </c:pt>
                <c:pt idx="19">
                  <c:v>dębicki</c:v>
                </c:pt>
                <c:pt idx="20">
                  <c:v>jarosławski</c:v>
                </c:pt>
                <c:pt idx="21">
                  <c:v>przeworski</c:v>
                </c:pt>
                <c:pt idx="22">
                  <c:v>jasielski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'11sort'!$D$4:$D$28</c:f>
              <c:numCache>
                <c:formatCode>#,##0</c:formatCode>
                <c:ptCount val="25"/>
                <c:pt idx="0" formatCode="General">
                  <c:v>4</c:v>
                </c:pt>
                <c:pt idx="1">
                  <c:v>13</c:v>
                </c:pt>
                <c:pt idx="2">
                  <c:v>16</c:v>
                </c:pt>
                <c:pt idx="3">
                  <c:v>25</c:v>
                </c:pt>
                <c:pt idx="4">
                  <c:v>28</c:v>
                </c:pt>
                <c:pt idx="5">
                  <c:v>39</c:v>
                </c:pt>
                <c:pt idx="6">
                  <c:v>45</c:v>
                </c:pt>
                <c:pt idx="7">
                  <c:v>52</c:v>
                </c:pt>
                <c:pt idx="8">
                  <c:v>53</c:v>
                </c:pt>
                <c:pt idx="9">
                  <c:v>59</c:v>
                </c:pt>
                <c:pt idx="10">
                  <c:v>61</c:v>
                </c:pt>
                <c:pt idx="11">
                  <c:v>62</c:v>
                </c:pt>
                <c:pt idx="12">
                  <c:v>70</c:v>
                </c:pt>
                <c:pt idx="13">
                  <c:v>72</c:v>
                </c:pt>
                <c:pt idx="14">
                  <c:v>73</c:v>
                </c:pt>
                <c:pt idx="15">
                  <c:v>75</c:v>
                </c:pt>
                <c:pt idx="16">
                  <c:v>79</c:v>
                </c:pt>
                <c:pt idx="17">
                  <c:v>84</c:v>
                </c:pt>
                <c:pt idx="18">
                  <c:v>91</c:v>
                </c:pt>
                <c:pt idx="19">
                  <c:v>117</c:v>
                </c:pt>
                <c:pt idx="20">
                  <c:v>124</c:v>
                </c:pt>
                <c:pt idx="21">
                  <c:v>144</c:v>
                </c:pt>
                <c:pt idx="22">
                  <c:v>155</c:v>
                </c:pt>
                <c:pt idx="23">
                  <c:v>230</c:v>
                </c:pt>
                <c:pt idx="24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wzrosty liczby bezrobotnych w województwie podkarpackim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9.035257999275477E-2"/>
          <c:y val="2.2422423836272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35320728375918E-2"/>
          <c:y val="9.384604092886846E-2"/>
          <c:w val="0.87318454309977178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wzrosty liczba bezrobotnych w województwie podkarpackim wg powiatów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'1sort'!$W$5:$W$29</c:f>
              <c:strCache>
                <c:ptCount val="25"/>
                <c:pt idx="0">
                  <c:v>przemyski</c:v>
                </c:pt>
                <c:pt idx="1">
                  <c:v>Przemyśl</c:v>
                </c:pt>
                <c:pt idx="2">
                  <c:v>jarosławski</c:v>
                </c:pt>
                <c:pt idx="3">
                  <c:v>strzyżowski</c:v>
                </c:pt>
                <c:pt idx="4">
                  <c:v>Krosno</c:v>
                </c:pt>
                <c:pt idx="5">
                  <c:v>dębicki</c:v>
                </c:pt>
                <c:pt idx="6">
                  <c:v>kolbuszowski</c:v>
                </c:pt>
                <c:pt idx="7">
                  <c:v>ropczycko-sędziszowski</c:v>
                </c:pt>
                <c:pt idx="8">
                  <c:v>bieszczadzki</c:v>
                </c:pt>
                <c:pt idx="9">
                  <c:v>sanocki</c:v>
                </c:pt>
                <c:pt idx="10">
                  <c:v>Rzeszów</c:v>
                </c:pt>
                <c:pt idx="11">
                  <c:v>krośnieński</c:v>
                </c:pt>
                <c:pt idx="12">
                  <c:v>jasielski</c:v>
                </c:pt>
                <c:pt idx="13">
                  <c:v>niżański</c:v>
                </c:pt>
                <c:pt idx="14">
                  <c:v>rzeszowski</c:v>
                </c:pt>
                <c:pt idx="15">
                  <c:v>tarnobrzeski </c:v>
                </c:pt>
                <c:pt idx="16">
                  <c:v>leżajski</c:v>
                </c:pt>
                <c:pt idx="17">
                  <c:v>stalowowolski</c:v>
                </c:pt>
                <c:pt idx="18">
                  <c:v>Tarnobrzeg</c:v>
                </c:pt>
                <c:pt idx="19">
                  <c:v>lubaczowski</c:v>
                </c:pt>
                <c:pt idx="20">
                  <c:v>łańcucki</c:v>
                </c:pt>
                <c:pt idx="21">
                  <c:v>brzozowski</c:v>
                </c:pt>
                <c:pt idx="22">
                  <c:v>mielecki</c:v>
                </c:pt>
                <c:pt idx="23">
                  <c:v>przeworski</c:v>
                </c:pt>
                <c:pt idx="24">
                  <c:v>województwo</c:v>
                </c:pt>
              </c:strCache>
            </c:strRef>
          </c:cat>
          <c:val>
            <c:numRef>
              <c:f>'1sort'!$X$5:$X$29</c:f>
              <c:numCache>
                <c:formatCode>#,##0</c:formatCode>
                <c:ptCount val="25"/>
                <c:pt idx="0">
                  <c:v>-54</c:v>
                </c:pt>
                <c:pt idx="1">
                  <c:v>-41</c:v>
                </c:pt>
                <c:pt idx="2">
                  <c:v>-26</c:v>
                </c:pt>
                <c:pt idx="3">
                  <c:v>-13</c:v>
                </c:pt>
                <c:pt idx="4">
                  <c:v>-9</c:v>
                </c:pt>
                <c:pt idx="5">
                  <c:v>-7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13</c:v>
                </c:pt>
                <c:pt idx="10">
                  <c:v>16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24</c:v>
                </c:pt>
                <c:pt idx="16">
                  <c:v>35</c:v>
                </c:pt>
                <c:pt idx="17">
                  <c:v>38</c:v>
                </c:pt>
                <c:pt idx="18">
                  <c:v>40</c:v>
                </c:pt>
                <c:pt idx="19">
                  <c:v>43</c:v>
                </c:pt>
                <c:pt idx="20">
                  <c:v>43</c:v>
                </c:pt>
                <c:pt idx="21">
                  <c:v>47</c:v>
                </c:pt>
                <c:pt idx="22">
                  <c:v>53</c:v>
                </c:pt>
                <c:pt idx="23">
                  <c:v>119</c:v>
                </c:pt>
                <c:pt idx="24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#,##0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 województwie podkarpackim wg powiatów</a:t>
            </a:r>
          </a:p>
        </c:rich>
      </c:tx>
      <c:layout>
        <c:manualLayout>
          <c:xMode val="edge"/>
          <c:yMode val="edge"/>
          <c:x val="0.21175836008271273"/>
          <c:y val="2.7793857119877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9D9-4126-8C38-04E21957A67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9D9-4126-8C38-04E21957A67B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D9-4126-8C38-04E21957A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dębicki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mielecki</c:v>
                </c:pt>
                <c:pt idx="16">
                  <c:v>leżajski</c:v>
                </c:pt>
                <c:pt idx="17">
                  <c:v>strzyżowski</c:v>
                </c:pt>
                <c:pt idx="18">
                  <c:v>niżański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716</c:v>
                </c:pt>
                <c:pt idx="1">
                  <c:v>997</c:v>
                </c:pt>
                <c:pt idx="2">
                  <c:v>1075</c:v>
                </c:pt>
                <c:pt idx="3">
                  <c:v>1233</c:v>
                </c:pt>
                <c:pt idx="4">
                  <c:v>1510</c:v>
                </c:pt>
                <c:pt idx="5">
                  <c:v>1528</c:v>
                </c:pt>
                <c:pt idx="6">
                  <c:v>1616</c:v>
                </c:pt>
                <c:pt idx="7">
                  <c:v>1891</c:v>
                </c:pt>
                <c:pt idx="8">
                  <c:v>2095</c:v>
                </c:pt>
                <c:pt idx="9">
                  <c:v>2374</c:v>
                </c:pt>
                <c:pt idx="10">
                  <c:v>2386</c:v>
                </c:pt>
                <c:pt idx="11">
                  <c:v>2519</c:v>
                </c:pt>
                <c:pt idx="12">
                  <c:v>2569</c:v>
                </c:pt>
                <c:pt idx="13">
                  <c:v>2657</c:v>
                </c:pt>
                <c:pt idx="14">
                  <c:v>2740</c:v>
                </c:pt>
                <c:pt idx="15">
                  <c:v>2837</c:v>
                </c:pt>
                <c:pt idx="16">
                  <c:v>2933</c:v>
                </c:pt>
                <c:pt idx="17">
                  <c:v>3007</c:v>
                </c:pt>
                <c:pt idx="18">
                  <c:v>3032</c:v>
                </c:pt>
                <c:pt idx="19">
                  <c:v>3268</c:v>
                </c:pt>
                <c:pt idx="20">
                  <c:v>3608</c:v>
                </c:pt>
                <c:pt idx="21">
                  <c:v>4222</c:v>
                </c:pt>
                <c:pt idx="22">
                  <c:v>4618</c:v>
                </c:pt>
                <c:pt idx="23">
                  <c:v>4709</c:v>
                </c:pt>
                <c:pt idx="24">
                  <c:v>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9-4126-8C38-04E21957A67B}"/>
            </c:ext>
          </c:extLst>
        </c:ser>
        <c:ser>
          <c:idx val="1"/>
          <c:order val="1"/>
          <c:tx>
            <c:strRef>
              <c:f>'1sort'!$F$3</c:f>
              <c:strCache>
                <c:ptCount val="1"/>
                <c:pt idx="0">
                  <c:v>wzrost/spadek do miesiąca poprzedniego</c:v>
                </c:pt>
              </c:strCache>
            </c:strRef>
          </c:tx>
          <c:invertIfNegative val="0"/>
          <c:val>
            <c:numRef>
              <c:f>'1sort'!$F$4:$F$28</c:f>
              <c:numCache>
                <c:formatCode>#,##0</c:formatCode>
                <c:ptCount val="25"/>
                <c:pt idx="0">
                  <c:v>-9</c:v>
                </c:pt>
                <c:pt idx="1">
                  <c:v>13</c:v>
                </c:pt>
                <c:pt idx="2">
                  <c:v>40</c:v>
                </c:pt>
                <c:pt idx="3">
                  <c:v>24</c:v>
                </c:pt>
                <c:pt idx="4">
                  <c:v>-61</c:v>
                </c:pt>
                <c:pt idx="5">
                  <c:v>9</c:v>
                </c:pt>
                <c:pt idx="6">
                  <c:v>43</c:v>
                </c:pt>
                <c:pt idx="7">
                  <c:v>38</c:v>
                </c:pt>
                <c:pt idx="8">
                  <c:v>19</c:v>
                </c:pt>
                <c:pt idx="9">
                  <c:v>-41</c:v>
                </c:pt>
                <c:pt idx="10">
                  <c:v>-7</c:v>
                </c:pt>
                <c:pt idx="11">
                  <c:v>43</c:v>
                </c:pt>
                <c:pt idx="12">
                  <c:v>10</c:v>
                </c:pt>
                <c:pt idx="13">
                  <c:v>13</c:v>
                </c:pt>
                <c:pt idx="14">
                  <c:v>-54</c:v>
                </c:pt>
                <c:pt idx="15">
                  <c:v>53</c:v>
                </c:pt>
                <c:pt idx="16">
                  <c:v>35</c:v>
                </c:pt>
                <c:pt idx="17">
                  <c:v>-13</c:v>
                </c:pt>
                <c:pt idx="18">
                  <c:v>23</c:v>
                </c:pt>
                <c:pt idx="19">
                  <c:v>119</c:v>
                </c:pt>
                <c:pt idx="20">
                  <c:v>47</c:v>
                </c:pt>
                <c:pt idx="21">
                  <c:v>-26</c:v>
                </c:pt>
                <c:pt idx="22">
                  <c:v>23</c:v>
                </c:pt>
                <c:pt idx="23">
                  <c:v>23</c:v>
                </c:pt>
                <c:pt idx="2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D9-4126-8C38-04E21957A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156363544471164"/>
          <c:y val="2.7793857119877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lubaczowski</c:v>
                </c:pt>
                <c:pt idx="6">
                  <c:v>kolbuszowski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łańcucki</c:v>
                </c:pt>
                <c:pt idx="11">
                  <c:v>sanocki</c:v>
                </c:pt>
                <c:pt idx="12">
                  <c:v>ropczycko-sędziszowski</c:v>
                </c:pt>
                <c:pt idx="13">
                  <c:v>przemyski</c:v>
                </c:pt>
                <c:pt idx="14">
                  <c:v>dębicki</c:v>
                </c:pt>
                <c:pt idx="15">
                  <c:v>mielecki</c:v>
                </c:pt>
                <c:pt idx="16">
                  <c:v>leżajski</c:v>
                </c:pt>
                <c:pt idx="17">
                  <c:v>niżański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401</c:v>
                </c:pt>
                <c:pt idx="1">
                  <c:v>501</c:v>
                </c:pt>
                <c:pt idx="2">
                  <c:v>544</c:v>
                </c:pt>
                <c:pt idx="3">
                  <c:v>659</c:v>
                </c:pt>
                <c:pt idx="4">
                  <c:v>698</c:v>
                </c:pt>
                <c:pt idx="5">
                  <c:v>762</c:v>
                </c:pt>
                <c:pt idx="6">
                  <c:v>775</c:v>
                </c:pt>
                <c:pt idx="7">
                  <c:v>1035</c:v>
                </c:pt>
                <c:pt idx="8">
                  <c:v>1147</c:v>
                </c:pt>
                <c:pt idx="9">
                  <c:v>1178</c:v>
                </c:pt>
                <c:pt idx="10">
                  <c:v>1260</c:v>
                </c:pt>
                <c:pt idx="11">
                  <c:v>1366</c:v>
                </c:pt>
                <c:pt idx="12">
                  <c:v>1402</c:v>
                </c:pt>
                <c:pt idx="13">
                  <c:v>1450</c:v>
                </c:pt>
                <c:pt idx="14">
                  <c:v>1461</c:v>
                </c:pt>
                <c:pt idx="15">
                  <c:v>1462</c:v>
                </c:pt>
                <c:pt idx="16">
                  <c:v>1559</c:v>
                </c:pt>
                <c:pt idx="17">
                  <c:v>1579</c:v>
                </c:pt>
                <c:pt idx="18">
                  <c:v>1596</c:v>
                </c:pt>
                <c:pt idx="19">
                  <c:v>1791</c:v>
                </c:pt>
                <c:pt idx="20">
                  <c:v>1942</c:v>
                </c:pt>
                <c:pt idx="21">
                  <c:v>2245</c:v>
                </c:pt>
                <c:pt idx="22">
                  <c:v>2329</c:v>
                </c:pt>
                <c:pt idx="23">
                  <c:v>2718</c:v>
                </c:pt>
                <c:pt idx="24">
                  <c:v>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27654538642851895"/>
          <c:y val="3.47423701265442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LUBUSKIE</c:v>
                </c:pt>
                <c:pt idx="4">
                  <c:v>DOLNOŚLĄSKIE</c:v>
                </c:pt>
                <c:pt idx="5">
                  <c:v>MAŁOPOLSKIE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KUJAWSKO-POMORSKIE</c:v>
                </c:pt>
                <c:pt idx="12">
                  <c:v>PODLASKIE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'3sort'!$D$4:$D$20</c:f>
              <c:numCache>
                <c:formatCode>0.0</c:formatCode>
                <c:ptCount val="17"/>
                <c:pt idx="0">
                  <c:v>2.9</c:v>
                </c:pt>
                <c:pt idx="1">
                  <c:v>3.6</c:v>
                </c:pt>
                <c:pt idx="2">
                  <c:v>4</c:v>
                </c:pt>
                <c:pt idx="3">
                  <c:v>4.2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5</c:v>
                </c:pt>
                <c:pt idx="8">
                  <c:v>5.5</c:v>
                </c:pt>
                <c:pt idx="9">
                  <c:v>6.1</c:v>
                </c:pt>
                <c:pt idx="10">
                  <c:v>6.3</c:v>
                </c:pt>
                <c:pt idx="11">
                  <c:v>7</c:v>
                </c:pt>
                <c:pt idx="12">
                  <c:v>7.1</c:v>
                </c:pt>
                <c:pt idx="13">
                  <c:v>7.5</c:v>
                </c:pt>
                <c:pt idx="14">
                  <c:v>7.6</c:v>
                </c:pt>
                <c:pt idx="15">
                  <c:v>8.1999999999999993</c:v>
                </c:pt>
                <c:pt idx="1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8801292390590288"/>
          <c:y val="3.19378591910301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Powiat stalowowolski</c:v>
                </c:pt>
                <c:pt idx="4">
                  <c:v>Powiat mielecki</c:v>
                </c:pt>
                <c:pt idx="5">
                  <c:v>POLSKA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sanocki</c:v>
                </c:pt>
                <c:pt idx="9">
                  <c:v>Powiat krośnieński</c:v>
                </c:pt>
                <c:pt idx="10">
                  <c:v>Powiat rzeszowski</c:v>
                </c:pt>
                <c:pt idx="11">
                  <c:v>Powiat kolbuszowski</c:v>
                </c:pt>
                <c:pt idx="12">
                  <c:v>PODKARPACKIE</c:v>
                </c:pt>
                <c:pt idx="13">
                  <c:v>Powiat m.Przemyśl</c:v>
                </c:pt>
                <c:pt idx="14">
                  <c:v>Powiat łańcucki</c:v>
                </c:pt>
                <c:pt idx="15">
                  <c:v>Powiat lubaczowski</c:v>
                </c:pt>
                <c:pt idx="16">
                  <c:v>Powiat jarosławski</c:v>
                </c:pt>
                <c:pt idx="17">
                  <c:v>Powiat ropczycko-sędziszowski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strzyżowski</c:v>
                </c:pt>
                <c:pt idx="24">
                  <c:v>Powiat niżański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'4sort'!$D$4:$D$30</c:f>
              <c:numCache>
                <c:formatCode>0.0</c:formatCode>
                <c:ptCount val="27"/>
                <c:pt idx="0">
                  <c:v>2.5</c:v>
                </c:pt>
                <c:pt idx="1">
                  <c:v>4.0999999999999996</c:v>
                </c:pt>
                <c:pt idx="2">
                  <c:v>4.7</c:v>
                </c:pt>
                <c:pt idx="3">
                  <c:v>4.8</c:v>
                </c:pt>
                <c:pt idx="4">
                  <c:v>4.9000000000000004</c:v>
                </c:pt>
                <c:pt idx="5">
                  <c:v>5</c:v>
                </c:pt>
                <c:pt idx="6">
                  <c:v>6.8</c:v>
                </c:pt>
                <c:pt idx="7">
                  <c:v>7</c:v>
                </c:pt>
                <c:pt idx="8">
                  <c:v>7.8</c:v>
                </c:pt>
                <c:pt idx="9">
                  <c:v>8</c:v>
                </c:pt>
                <c:pt idx="10">
                  <c:v>8.1</c:v>
                </c:pt>
                <c:pt idx="11">
                  <c:v>8.1999999999999993</c:v>
                </c:pt>
                <c:pt idx="12">
                  <c:v>8.4</c:v>
                </c:pt>
                <c:pt idx="13">
                  <c:v>9.1</c:v>
                </c:pt>
                <c:pt idx="14">
                  <c:v>9.6</c:v>
                </c:pt>
                <c:pt idx="15">
                  <c:v>10</c:v>
                </c:pt>
                <c:pt idx="16">
                  <c:v>10.6</c:v>
                </c:pt>
                <c:pt idx="17">
                  <c:v>10.7</c:v>
                </c:pt>
                <c:pt idx="18">
                  <c:v>12.4</c:v>
                </c:pt>
                <c:pt idx="19">
                  <c:v>13.7</c:v>
                </c:pt>
                <c:pt idx="20">
                  <c:v>14.3</c:v>
                </c:pt>
                <c:pt idx="21">
                  <c:v>14.9</c:v>
                </c:pt>
                <c:pt idx="22">
                  <c:v>15.9</c:v>
                </c:pt>
                <c:pt idx="23">
                  <c:v>16.8</c:v>
                </c:pt>
                <c:pt idx="24">
                  <c:v>17.100000000000001</c:v>
                </c:pt>
                <c:pt idx="25">
                  <c:v>17.3</c:v>
                </c:pt>
                <c:pt idx="26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30270230792241981"/>
          <c:y val="2.90151982978374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leski</c:v>
                </c:pt>
                <c:pt idx="5">
                  <c:v>kolbuszowski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krośnieński</c:v>
                </c:pt>
                <c:pt idx="11">
                  <c:v>niżański</c:v>
                </c:pt>
                <c:pt idx="12">
                  <c:v>łańcucki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'5sort'!$D$4:$D$24</c:f>
              <c:numCache>
                <c:formatCode>#,##0</c:formatCode>
                <c:ptCount val="21"/>
                <c:pt idx="0" formatCode="General">
                  <c:v>627</c:v>
                </c:pt>
                <c:pt idx="1">
                  <c:v>746</c:v>
                </c:pt>
                <c:pt idx="2">
                  <c:v>993</c:v>
                </c:pt>
                <c:pt idx="3">
                  <c:v>1062</c:v>
                </c:pt>
                <c:pt idx="4">
                  <c:v>1228</c:v>
                </c:pt>
                <c:pt idx="5">
                  <c:v>1340</c:v>
                </c:pt>
                <c:pt idx="6">
                  <c:v>1386</c:v>
                </c:pt>
                <c:pt idx="7">
                  <c:v>1403</c:v>
                </c:pt>
                <c:pt idx="8">
                  <c:v>1524</c:v>
                </c:pt>
                <c:pt idx="9">
                  <c:v>1665</c:v>
                </c:pt>
                <c:pt idx="10">
                  <c:v>1890</c:v>
                </c:pt>
                <c:pt idx="11">
                  <c:v>1978</c:v>
                </c:pt>
                <c:pt idx="12">
                  <c:v>1993</c:v>
                </c:pt>
                <c:pt idx="13">
                  <c:v>2229</c:v>
                </c:pt>
                <c:pt idx="14">
                  <c:v>2491</c:v>
                </c:pt>
                <c:pt idx="15">
                  <c:v>2601</c:v>
                </c:pt>
                <c:pt idx="16">
                  <c:v>2708</c:v>
                </c:pt>
                <c:pt idx="17">
                  <c:v>2719</c:v>
                </c:pt>
                <c:pt idx="18">
                  <c:v>3304</c:v>
                </c:pt>
                <c:pt idx="19">
                  <c:v>3321</c:v>
                </c:pt>
                <c:pt idx="20">
                  <c:v>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krośnieński</c:v>
                </c:pt>
                <c:pt idx="8">
                  <c:v>dębicki</c:v>
                </c:pt>
                <c:pt idx="9">
                  <c:v>leski</c:v>
                </c:pt>
                <c:pt idx="10">
                  <c:v>mielecki</c:v>
                </c:pt>
                <c:pt idx="11">
                  <c:v>łańcucki</c:v>
                </c:pt>
                <c:pt idx="12">
                  <c:v>sanocki</c:v>
                </c:pt>
                <c:pt idx="13">
                  <c:v>ropczycko-sędziszowski</c:v>
                </c:pt>
                <c:pt idx="14">
                  <c:v>Przemyśl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298</c:v>
                </c:pt>
                <c:pt idx="1">
                  <c:v>530</c:v>
                </c:pt>
                <c:pt idx="2">
                  <c:v>603</c:v>
                </c:pt>
                <c:pt idx="3">
                  <c:v>618</c:v>
                </c:pt>
                <c:pt idx="4">
                  <c:v>749</c:v>
                </c:pt>
                <c:pt idx="5">
                  <c:v>768</c:v>
                </c:pt>
                <c:pt idx="6">
                  <c:v>874</c:v>
                </c:pt>
                <c:pt idx="7">
                  <c:v>912</c:v>
                </c:pt>
                <c:pt idx="8">
                  <c:v>982</c:v>
                </c:pt>
                <c:pt idx="9">
                  <c:v>1017</c:v>
                </c:pt>
                <c:pt idx="10">
                  <c:v>1242</c:v>
                </c:pt>
                <c:pt idx="11">
                  <c:v>1290</c:v>
                </c:pt>
                <c:pt idx="12">
                  <c:v>1326</c:v>
                </c:pt>
                <c:pt idx="13">
                  <c:v>1393</c:v>
                </c:pt>
                <c:pt idx="14">
                  <c:v>1534</c:v>
                </c:pt>
                <c:pt idx="15">
                  <c:v>1726</c:v>
                </c:pt>
                <c:pt idx="16">
                  <c:v>1734</c:v>
                </c:pt>
                <c:pt idx="17">
                  <c:v>1748</c:v>
                </c:pt>
                <c:pt idx="18">
                  <c:v>1918</c:v>
                </c:pt>
                <c:pt idx="19">
                  <c:v>1980</c:v>
                </c:pt>
                <c:pt idx="20">
                  <c:v>2377</c:v>
                </c:pt>
                <c:pt idx="21">
                  <c:v>2508</c:v>
                </c:pt>
                <c:pt idx="22">
                  <c:v>2684</c:v>
                </c:pt>
                <c:pt idx="23">
                  <c:v>2939</c:v>
                </c:pt>
                <c:pt idx="24">
                  <c:v>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Przemyśl</c:v>
                </c:pt>
                <c:pt idx="6">
                  <c:v>lubaczowski</c:v>
                </c:pt>
                <c:pt idx="7">
                  <c:v>kolbuszowski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sanocki</c:v>
                </c:pt>
                <c:pt idx="12">
                  <c:v>łańcucki</c:v>
                </c:pt>
                <c:pt idx="13">
                  <c:v>przemyski</c:v>
                </c:pt>
                <c:pt idx="14">
                  <c:v>mielecki</c:v>
                </c:pt>
                <c:pt idx="15">
                  <c:v>ropczycko-sędziszowski</c:v>
                </c:pt>
                <c:pt idx="16">
                  <c:v>strzyżowski</c:v>
                </c:pt>
                <c:pt idx="17">
                  <c:v>niżański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Rzeszów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119</c:v>
                </c:pt>
                <c:pt idx="1">
                  <c:v>218</c:v>
                </c:pt>
                <c:pt idx="2">
                  <c:v>240</c:v>
                </c:pt>
                <c:pt idx="3">
                  <c:v>297</c:v>
                </c:pt>
                <c:pt idx="4">
                  <c:v>378</c:v>
                </c:pt>
                <c:pt idx="5">
                  <c:v>419</c:v>
                </c:pt>
                <c:pt idx="6">
                  <c:v>439</c:v>
                </c:pt>
                <c:pt idx="7">
                  <c:v>440</c:v>
                </c:pt>
                <c:pt idx="8">
                  <c:v>473</c:v>
                </c:pt>
                <c:pt idx="9">
                  <c:v>534</c:v>
                </c:pt>
                <c:pt idx="10">
                  <c:v>659</c:v>
                </c:pt>
                <c:pt idx="11">
                  <c:v>679</c:v>
                </c:pt>
                <c:pt idx="12">
                  <c:v>699</c:v>
                </c:pt>
                <c:pt idx="13">
                  <c:v>701</c:v>
                </c:pt>
                <c:pt idx="14">
                  <c:v>735</c:v>
                </c:pt>
                <c:pt idx="15">
                  <c:v>761</c:v>
                </c:pt>
                <c:pt idx="16">
                  <c:v>765</c:v>
                </c:pt>
                <c:pt idx="17">
                  <c:v>784</c:v>
                </c:pt>
                <c:pt idx="18">
                  <c:v>816</c:v>
                </c:pt>
                <c:pt idx="19">
                  <c:v>903</c:v>
                </c:pt>
                <c:pt idx="20">
                  <c:v>909</c:v>
                </c:pt>
                <c:pt idx="21">
                  <c:v>969</c:v>
                </c:pt>
                <c:pt idx="22">
                  <c:v>1062</c:v>
                </c:pt>
                <c:pt idx="23">
                  <c:v>1140</c:v>
                </c:pt>
                <c:pt idx="24">
                  <c:v>1189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8594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41275</xdr:colOff>
      <xdr:row>1</xdr:row>
      <xdr:rowOff>81491</xdr:rowOff>
    </xdr:from>
    <xdr:to>
      <xdr:col>19</xdr:col>
      <xdr:colOff>154782</xdr:colOff>
      <xdr:row>16</xdr:row>
      <xdr:rowOff>146050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154781</xdr:colOff>
      <xdr:row>17</xdr:row>
      <xdr:rowOff>142873</xdr:rowOff>
    </xdr:from>
    <xdr:to>
      <xdr:col>20</xdr:col>
      <xdr:colOff>23812</xdr:colOff>
      <xdr:row>39</xdr:row>
      <xdr:rowOff>166685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361949</xdr:colOff>
      <xdr:row>1</xdr:row>
      <xdr:rowOff>76200</xdr:rowOff>
    </xdr:from>
    <xdr:to>
      <xdr:col>23</xdr:col>
      <xdr:colOff>590550</xdr:colOff>
      <xdr:row>1</xdr:row>
      <xdr:rowOff>209550</xdr:rowOff>
    </xdr:to>
    <xdr:sp macro="" textlink="">
      <xdr:nvSpPr>
        <xdr:cNvPr id="5" name="Schemat blokowy: scalanie 4">
          <a:extLst>
            <a:ext uri="{FF2B5EF4-FFF2-40B4-BE49-F238E27FC236}">
              <a16:creationId xmlns:a16="http://schemas.microsoft.com/office/drawing/2014/main" id="{13DBE3A2-4823-4E59-A126-A234DEB0B024}"/>
            </a:ext>
          </a:extLst>
        </xdr:cNvPr>
        <xdr:cNvSpPr/>
      </xdr:nvSpPr>
      <xdr:spPr>
        <a:xfrm>
          <a:off x="2588418" y="254794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17</xdr:col>
      <xdr:colOff>539181</xdr:colOff>
      <xdr:row>31</xdr:row>
      <xdr:rowOff>54429</xdr:rowOff>
    </xdr:from>
    <xdr:to>
      <xdr:col>24</xdr:col>
      <xdr:colOff>585107</xdr:colOff>
      <xdr:row>50</xdr:row>
      <xdr:rowOff>149605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DFBFEF64-5EAD-42C0-AD73-1C713393F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17</xdr:row>
      <xdr:rowOff>49743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247383</xdr:colOff>
      <xdr:row>2</xdr:row>
      <xdr:rowOff>84402</xdr:rowOff>
    </xdr:from>
    <xdr:to>
      <xdr:col>18</xdr:col>
      <xdr:colOff>559593</xdr:colOff>
      <xdr:row>19</xdr:row>
      <xdr:rowOff>71437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3175</xdr:rowOff>
    </xdr:from>
    <xdr:to>
      <xdr:col>18</xdr:col>
      <xdr:colOff>190501</xdr:colOff>
      <xdr:row>19</xdr:row>
      <xdr:rowOff>116417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18</xdr:row>
      <xdr:rowOff>166686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52917</xdr:colOff>
      <xdr:row>2</xdr:row>
      <xdr:rowOff>21167</xdr:rowOff>
    </xdr:from>
    <xdr:to>
      <xdr:col>18</xdr:col>
      <xdr:colOff>412749</xdr:colOff>
      <xdr:row>17</xdr:row>
      <xdr:rowOff>28576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16</xdr:row>
      <xdr:rowOff>45509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19</xdr:col>
      <xdr:colOff>168275</xdr:colOff>
      <xdr:row>18</xdr:row>
      <xdr:rowOff>29633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1</xdr:row>
      <xdr:rowOff>223309</xdr:rowOff>
    </xdr:from>
    <xdr:to>
      <xdr:col>19</xdr:col>
      <xdr:colOff>15876</xdr:colOff>
      <xdr:row>19</xdr:row>
      <xdr:rowOff>21168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7109375" style="3" customWidth="1"/>
    <col min="4" max="4" width="15.28515625" style="3" customWidth="1"/>
    <col min="5" max="5" width="17.42578125" style="3" customWidth="1"/>
    <col min="6" max="6" width="15.28515625" style="3" customWidth="1"/>
    <col min="7" max="7" width="17.42578125" style="3" customWidth="1"/>
    <col min="8" max="8" width="6.28515625" style="3" customWidth="1"/>
    <col min="9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7" x14ac:dyDescent="0.2">
      <c r="B2" s="55" t="s">
        <v>27</v>
      </c>
      <c r="C2" s="56" t="s">
        <v>127</v>
      </c>
      <c r="D2" s="57" t="s">
        <v>118</v>
      </c>
      <c r="E2" s="56" t="s">
        <v>77</v>
      </c>
      <c r="F2" s="57" t="s">
        <v>128</v>
      </c>
      <c r="G2" s="56" t="s">
        <v>26</v>
      </c>
    </row>
    <row r="3" spans="2:7" x14ac:dyDescent="0.2">
      <c r="B3" s="5" t="s">
        <v>0</v>
      </c>
      <c r="C3" s="6">
        <v>997</v>
      </c>
      <c r="D3" s="61">
        <v>984</v>
      </c>
      <c r="E3" s="194">
        <f>SUM(C3)-D3</f>
        <v>13</v>
      </c>
      <c r="F3" s="61">
        <v>1019</v>
      </c>
      <c r="G3" s="6">
        <f>SUM(C3)-F3</f>
        <v>-22</v>
      </c>
    </row>
    <row r="4" spans="2:7" x14ac:dyDescent="0.2">
      <c r="B4" s="5" t="s">
        <v>1</v>
      </c>
      <c r="C4" s="6">
        <v>3608</v>
      </c>
      <c r="D4" s="61">
        <v>3561</v>
      </c>
      <c r="E4" s="194">
        <f t="shared" ref="E4:E27" si="0">SUM(C4)-D4</f>
        <v>47</v>
      </c>
      <c r="F4" s="61">
        <v>3927</v>
      </c>
      <c r="G4" s="6">
        <f t="shared" ref="G4:G27" si="1">SUM(C4)-F4</f>
        <v>-319</v>
      </c>
    </row>
    <row r="5" spans="2:7" x14ac:dyDescent="0.2">
      <c r="B5" s="5" t="s">
        <v>2</v>
      </c>
      <c r="C5" s="6">
        <v>2386</v>
      </c>
      <c r="D5" s="61">
        <v>2393</v>
      </c>
      <c r="E5" s="6">
        <f t="shared" si="0"/>
        <v>-7</v>
      </c>
      <c r="F5" s="61">
        <v>2426</v>
      </c>
      <c r="G5" s="6">
        <f t="shared" si="1"/>
        <v>-40</v>
      </c>
    </row>
    <row r="6" spans="2:7" x14ac:dyDescent="0.2">
      <c r="B6" s="5" t="s">
        <v>3</v>
      </c>
      <c r="C6" s="6">
        <v>4222</v>
      </c>
      <c r="D6" s="61">
        <v>4248</v>
      </c>
      <c r="E6" s="6">
        <f t="shared" si="0"/>
        <v>-26</v>
      </c>
      <c r="F6" s="61">
        <v>4643</v>
      </c>
      <c r="G6" s="6">
        <f t="shared" si="1"/>
        <v>-421</v>
      </c>
    </row>
    <row r="7" spans="2:7" x14ac:dyDescent="0.2">
      <c r="B7" s="5" t="s">
        <v>4</v>
      </c>
      <c r="C7" s="6">
        <v>4709</v>
      </c>
      <c r="D7" s="61">
        <v>4686</v>
      </c>
      <c r="E7" s="194">
        <f t="shared" si="0"/>
        <v>23</v>
      </c>
      <c r="F7" s="61">
        <v>4746</v>
      </c>
      <c r="G7" s="6">
        <f t="shared" si="1"/>
        <v>-37</v>
      </c>
    </row>
    <row r="8" spans="2:7" x14ac:dyDescent="0.2">
      <c r="B8" s="5" t="s">
        <v>5</v>
      </c>
      <c r="C8" s="6">
        <v>1528</v>
      </c>
      <c r="D8" s="61">
        <v>1519</v>
      </c>
      <c r="E8" s="194">
        <f t="shared" si="0"/>
        <v>9</v>
      </c>
      <c r="F8" s="61">
        <v>1636</v>
      </c>
      <c r="G8" s="6">
        <f t="shared" si="1"/>
        <v>-108</v>
      </c>
    </row>
    <row r="9" spans="2:7" x14ac:dyDescent="0.2">
      <c r="B9" s="9" t="s">
        <v>6</v>
      </c>
      <c r="C9" s="6">
        <v>2095</v>
      </c>
      <c r="D9" s="61">
        <v>2076</v>
      </c>
      <c r="E9" s="194">
        <f t="shared" si="0"/>
        <v>19</v>
      </c>
      <c r="F9" s="61">
        <v>1859</v>
      </c>
      <c r="G9" s="6">
        <f t="shared" si="1"/>
        <v>236</v>
      </c>
    </row>
    <row r="10" spans="2:7" x14ac:dyDescent="0.2">
      <c r="B10" s="5" t="s">
        <v>7</v>
      </c>
      <c r="C10" s="6">
        <v>1510</v>
      </c>
      <c r="D10" s="61">
        <v>1571</v>
      </c>
      <c r="E10" s="6">
        <f t="shared" si="0"/>
        <v>-61</v>
      </c>
      <c r="F10" s="61">
        <v>1559</v>
      </c>
      <c r="G10" s="6">
        <f t="shared" si="1"/>
        <v>-49</v>
      </c>
    </row>
    <row r="11" spans="2:7" x14ac:dyDescent="0.2">
      <c r="B11" s="5" t="s">
        <v>8</v>
      </c>
      <c r="C11" s="6">
        <v>2933</v>
      </c>
      <c r="D11" s="61">
        <v>2898</v>
      </c>
      <c r="E11" s="194">
        <f t="shared" si="0"/>
        <v>35</v>
      </c>
      <c r="F11" s="61">
        <v>3195</v>
      </c>
      <c r="G11" s="6">
        <f t="shared" si="1"/>
        <v>-262</v>
      </c>
    </row>
    <row r="12" spans="2:7" x14ac:dyDescent="0.2">
      <c r="B12" s="5" t="s">
        <v>9</v>
      </c>
      <c r="C12" s="6">
        <v>1616</v>
      </c>
      <c r="D12" s="61">
        <v>1573</v>
      </c>
      <c r="E12" s="194">
        <f t="shared" si="0"/>
        <v>43</v>
      </c>
      <c r="F12" s="61">
        <v>1613</v>
      </c>
      <c r="G12" s="6">
        <f t="shared" si="1"/>
        <v>3</v>
      </c>
    </row>
    <row r="13" spans="2:7" x14ac:dyDescent="0.2">
      <c r="B13" s="5" t="s">
        <v>10</v>
      </c>
      <c r="C13" s="6">
        <v>2519</v>
      </c>
      <c r="D13" s="61">
        <v>2476</v>
      </c>
      <c r="E13" s="194">
        <f t="shared" si="0"/>
        <v>43</v>
      </c>
      <c r="F13" s="61">
        <v>2782</v>
      </c>
      <c r="G13" s="6">
        <f t="shared" si="1"/>
        <v>-263</v>
      </c>
    </row>
    <row r="14" spans="2:7" x14ac:dyDescent="0.2">
      <c r="B14" s="5" t="s">
        <v>11</v>
      </c>
      <c r="C14" s="6">
        <v>2837</v>
      </c>
      <c r="D14" s="61">
        <v>2784</v>
      </c>
      <c r="E14" s="194">
        <f t="shared" si="0"/>
        <v>53</v>
      </c>
      <c r="F14" s="61">
        <v>2646</v>
      </c>
      <c r="G14" s="6">
        <f t="shared" si="1"/>
        <v>191</v>
      </c>
    </row>
    <row r="15" spans="2:7" x14ac:dyDescent="0.2">
      <c r="B15" s="5" t="s">
        <v>12</v>
      </c>
      <c r="C15" s="6">
        <v>3032</v>
      </c>
      <c r="D15" s="61">
        <v>3009</v>
      </c>
      <c r="E15" s="194">
        <f t="shared" si="0"/>
        <v>23</v>
      </c>
      <c r="F15" s="61">
        <v>3156</v>
      </c>
      <c r="G15" s="6">
        <f t="shared" si="1"/>
        <v>-124</v>
      </c>
    </row>
    <row r="16" spans="2:7" x14ac:dyDescent="0.2">
      <c r="B16" s="5" t="s">
        <v>13</v>
      </c>
      <c r="C16" s="6">
        <v>2740</v>
      </c>
      <c r="D16" s="61">
        <v>2794</v>
      </c>
      <c r="E16" s="6">
        <f t="shared" si="0"/>
        <v>-54</v>
      </c>
      <c r="F16" s="61">
        <v>2975</v>
      </c>
      <c r="G16" s="6">
        <f t="shared" si="1"/>
        <v>-235</v>
      </c>
    </row>
    <row r="17" spans="2:7" x14ac:dyDescent="0.2">
      <c r="B17" s="5" t="s">
        <v>14</v>
      </c>
      <c r="C17" s="6">
        <v>3268</v>
      </c>
      <c r="D17" s="61">
        <v>3149</v>
      </c>
      <c r="E17" s="194">
        <f t="shared" si="0"/>
        <v>119</v>
      </c>
      <c r="F17" s="61">
        <v>3501</v>
      </c>
      <c r="G17" s="6">
        <f t="shared" si="1"/>
        <v>-233</v>
      </c>
    </row>
    <row r="18" spans="2:7" x14ac:dyDescent="0.2">
      <c r="B18" s="5" t="s">
        <v>15</v>
      </c>
      <c r="C18" s="6">
        <v>2569</v>
      </c>
      <c r="D18" s="61">
        <v>2559</v>
      </c>
      <c r="E18" s="194">
        <f t="shared" si="0"/>
        <v>10</v>
      </c>
      <c r="F18" s="61">
        <v>2964</v>
      </c>
      <c r="G18" s="6">
        <f t="shared" si="1"/>
        <v>-395</v>
      </c>
    </row>
    <row r="19" spans="2:7" x14ac:dyDescent="0.2">
      <c r="B19" s="5" t="s">
        <v>16</v>
      </c>
      <c r="C19" s="6">
        <v>4618</v>
      </c>
      <c r="D19" s="61">
        <v>4595</v>
      </c>
      <c r="E19" s="194">
        <f t="shared" si="0"/>
        <v>23</v>
      </c>
      <c r="F19" s="61">
        <v>4884</v>
      </c>
      <c r="G19" s="6">
        <f t="shared" si="1"/>
        <v>-266</v>
      </c>
    </row>
    <row r="20" spans="2:7" x14ac:dyDescent="0.2">
      <c r="B20" s="5" t="s">
        <v>17</v>
      </c>
      <c r="C20" s="6">
        <v>2657</v>
      </c>
      <c r="D20" s="61">
        <v>2644</v>
      </c>
      <c r="E20" s="194">
        <f t="shared" si="0"/>
        <v>13</v>
      </c>
      <c r="F20" s="61">
        <v>2415</v>
      </c>
      <c r="G20" s="6">
        <f t="shared" si="1"/>
        <v>242</v>
      </c>
    </row>
    <row r="21" spans="2:7" x14ac:dyDescent="0.2">
      <c r="B21" s="5" t="s">
        <v>18</v>
      </c>
      <c r="C21" s="6">
        <v>1891</v>
      </c>
      <c r="D21" s="61">
        <v>1853</v>
      </c>
      <c r="E21" s="194">
        <f t="shared" si="0"/>
        <v>38</v>
      </c>
      <c r="F21" s="61">
        <v>2003</v>
      </c>
      <c r="G21" s="6">
        <f t="shared" si="1"/>
        <v>-112</v>
      </c>
    </row>
    <row r="22" spans="2:7" x14ac:dyDescent="0.2">
      <c r="B22" s="5" t="s">
        <v>19</v>
      </c>
      <c r="C22" s="6">
        <v>3007</v>
      </c>
      <c r="D22" s="61">
        <v>3020</v>
      </c>
      <c r="E22" s="6">
        <f t="shared" si="0"/>
        <v>-13</v>
      </c>
      <c r="F22" s="61">
        <v>3220</v>
      </c>
      <c r="G22" s="6">
        <f t="shared" si="1"/>
        <v>-213</v>
      </c>
    </row>
    <row r="23" spans="2:7" x14ac:dyDescent="0.2">
      <c r="B23" s="5" t="s">
        <v>20</v>
      </c>
      <c r="C23" s="6">
        <v>1233</v>
      </c>
      <c r="D23" s="61">
        <v>1209</v>
      </c>
      <c r="E23" s="194">
        <f t="shared" si="0"/>
        <v>24</v>
      </c>
      <c r="F23" s="61">
        <v>1311</v>
      </c>
      <c r="G23" s="6">
        <f t="shared" si="1"/>
        <v>-78</v>
      </c>
    </row>
    <row r="24" spans="2:7" x14ac:dyDescent="0.2">
      <c r="B24" s="5" t="s">
        <v>21</v>
      </c>
      <c r="C24" s="6">
        <v>716</v>
      </c>
      <c r="D24" s="61">
        <v>725</v>
      </c>
      <c r="E24" s="6">
        <f t="shared" si="0"/>
        <v>-9</v>
      </c>
      <c r="F24" s="61">
        <v>741</v>
      </c>
      <c r="G24" s="6">
        <f t="shared" si="1"/>
        <v>-25</v>
      </c>
    </row>
    <row r="25" spans="2:7" x14ac:dyDescent="0.2">
      <c r="B25" s="5" t="s">
        <v>22</v>
      </c>
      <c r="C25" s="6">
        <v>2374</v>
      </c>
      <c r="D25" s="61">
        <v>2415</v>
      </c>
      <c r="E25" s="6">
        <f t="shared" si="0"/>
        <v>-41</v>
      </c>
      <c r="F25" s="61">
        <v>2513</v>
      </c>
      <c r="G25" s="6">
        <f t="shared" si="1"/>
        <v>-139</v>
      </c>
    </row>
    <row r="26" spans="2:7" x14ac:dyDescent="0.2">
      <c r="B26" s="5" t="s">
        <v>23</v>
      </c>
      <c r="C26" s="6">
        <v>5304</v>
      </c>
      <c r="D26" s="61">
        <v>5288</v>
      </c>
      <c r="E26" s="194">
        <f t="shared" si="0"/>
        <v>16</v>
      </c>
      <c r="F26" s="61">
        <v>5834</v>
      </c>
      <c r="G26" s="6">
        <f t="shared" si="1"/>
        <v>-530</v>
      </c>
    </row>
    <row r="27" spans="2:7" x14ac:dyDescent="0.2">
      <c r="B27" s="5" t="s">
        <v>24</v>
      </c>
      <c r="C27" s="6">
        <v>1075</v>
      </c>
      <c r="D27" s="61">
        <v>1035</v>
      </c>
      <c r="E27" s="194">
        <f t="shared" si="0"/>
        <v>40</v>
      </c>
      <c r="F27" s="61">
        <v>1151</v>
      </c>
      <c r="G27" s="6">
        <f t="shared" si="1"/>
        <v>-76</v>
      </c>
    </row>
    <row r="28" spans="2:7" ht="15" x14ac:dyDescent="0.25">
      <c r="B28" s="58" t="s">
        <v>25</v>
      </c>
      <c r="C28" s="59">
        <f>SUM(C3:C27)</f>
        <v>65444</v>
      </c>
      <c r="D28" s="60">
        <f>SUM(D3:D27)</f>
        <v>65064</v>
      </c>
      <c r="E28" s="59">
        <f>SUM(C28)-D28</f>
        <v>380</v>
      </c>
      <c r="F28" s="60">
        <f>SUM(F3:F27)</f>
        <v>68719</v>
      </c>
      <c r="G28" s="59">
        <f>SUM(C28)-F28</f>
        <v>-3275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5" width="14.85546875" style="3" customWidth="1"/>
    <col min="6" max="6" width="17" style="3" customWidth="1"/>
    <col min="7" max="7" width="15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62" t="s">
        <v>88</v>
      </c>
      <c r="C3" s="55" t="str">
        <f>T('2kob.'!B2)</f>
        <v>powiaty</v>
      </c>
      <c r="D3" s="55" t="str">
        <f>T('2kob.'!C2)</f>
        <v>liczba bezrobotnych kobiet stan na 31 VII '23 r.</v>
      </c>
      <c r="E3" s="55" t="str">
        <f>T('2kob.'!D2)</f>
        <v>liczba bezrobotnych kobiet stan na 30 VI '23 r.</v>
      </c>
      <c r="F3" s="55" t="str">
        <f>T('2kob.'!E2)</f>
        <v>wzrost/spadek do poprzedniego  miesiąca</v>
      </c>
      <c r="G3" s="55" t="str">
        <f>T('2kob.'!F2)</f>
        <v>liczba bezrobotnych kobiet stan na 31 VII '22 r.</v>
      </c>
      <c r="H3" s="55" t="str">
        <f>T('2kob.'!G2)</f>
        <v>wzrost/spadek do analogicznego okresu ubr.</v>
      </c>
    </row>
    <row r="4" spans="1:8" x14ac:dyDescent="0.2">
      <c r="A4" s="3">
        <v>1</v>
      </c>
      <c r="B4" s="6">
        <f>RANK('5bezr. na wsi'!C3,'5bezr. na wsi'!$C$3:'5bezr. na wsi'!$C$28,1)+COUNTIF('5bezr. na wsi'!$C$3:'5bezr. na wsi'!C3,'5bezr. na wsi'!C3)-1</f>
        <v>1</v>
      </c>
      <c r="C4" s="5" t="str">
        <f>INDEX('5bezr. na wsi'!B3:G28,MATCH(1,B4:B25,0),1)</f>
        <v>bieszczadzki</v>
      </c>
      <c r="D4" s="25">
        <f>INDEX('5bezr. na wsi'!B3:G28,MATCH(1,B4:B25,0),2)</f>
        <v>627</v>
      </c>
      <c r="E4" s="61">
        <f>INDEX('5bezr. na wsi'!B3:G28,MATCH(1,B4:B25,0),3)</f>
        <v>625</v>
      </c>
      <c r="F4" s="6">
        <f>INDEX('5bezr. na wsi'!B3:G28,MATCH(1,B4:B25,0),4)</f>
        <v>2</v>
      </c>
      <c r="G4" s="61">
        <f>INDEX('5bezr. na wsi'!B3:G28,MATCH(1,B4:B25,0),5)</f>
        <v>642</v>
      </c>
      <c r="H4" s="6">
        <f>INDEX('5bezr. na wsi'!B3:G28,MATCH(1,B4:B25,0),6)</f>
        <v>-15</v>
      </c>
    </row>
    <row r="5" spans="1:8" x14ac:dyDescent="0.2">
      <c r="A5" s="3">
        <v>2</v>
      </c>
      <c r="B5" s="6">
        <f>RANK('5bezr. na wsi'!C4,'5bezr. na wsi'!$C$3:'5bezr. na wsi'!$C$28,1)+COUNTIF('5bezr. na wsi'!$C$3:'5bezr. na wsi'!C4,'5bezr. na wsi'!C4)-1</f>
        <v>19</v>
      </c>
      <c r="C5" s="5" t="str">
        <f>INDEX('5bezr. na wsi'!B3:G28,MATCH(2,B4:B25,0),1)</f>
        <v>stalowowolski</v>
      </c>
      <c r="D5" s="6">
        <f>INDEX('5bezr. na wsi'!B3:G28,MATCH(2,B4:B25,0),2)</f>
        <v>746</v>
      </c>
      <c r="E5" s="61">
        <f>INDEX('5bezr. na wsi'!B3:G28,MATCH(2,B4:B25,0),3)</f>
        <v>746</v>
      </c>
      <c r="F5" s="6">
        <f>INDEX('5bezr. na wsi'!B3:G28,MATCH(2,B4:B25,0),4)</f>
        <v>0</v>
      </c>
      <c r="G5" s="61">
        <f>INDEX('5bezr. na wsi'!B3:G28,MATCH(2,B4:B25,0),5)</f>
        <v>812</v>
      </c>
      <c r="H5" s="6">
        <f>INDEX('5bezr. na wsi'!B3:G28,MATCH(2,B4:B25,0),6)</f>
        <v>-66</v>
      </c>
    </row>
    <row r="6" spans="1:8" x14ac:dyDescent="0.2">
      <c r="A6" s="3">
        <v>3</v>
      </c>
      <c r="B6" s="6">
        <f>RANK('5bezr. na wsi'!C5,'5bezr. na wsi'!$C$3:'5bezr. na wsi'!$C$28,1)+COUNTIF('5bezr. na wsi'!$C$3:'5bezr. na wsi'!C5,'5bezr. na wsi'!C5)-1</f>
        <v>7</v>
      </c>
      <c r="C6" s="5" t="str">
        <f>INDEX('5bezr. na wsi'!B3:G28,MATCH(3,B4:B25,0),1)</f>
        <v xml:space="preserve">tarnobrzeski </v>
      </c>
      <c r="D6" s="6">
        <f>INDEX('5bezr. na wsi'!B3:G28,MATCH(3,B4:B25,0),2)</f>
        <v>993</v>
      </c>
      <c r="E6" s="61">
        <f>INDEX('5bezr. na wsi'!B3:G28,MATCH(3,B4:B25,0),3)</f>
        <v>974</v>
      </c>
      <c r="F6" s="6">
        <f>INDEX('5bezr. na wsi'!B3:G28,MATCH(3,B4:B25,0),4)</f>
        <v>19</v>
      </c>
      <c r="G6" s="61">
        <f>INDEX('5bezr. na wsi'!B3:G28,MATCH(3,B4:B25,0),5)</f>
        <v>1060</v>
      </c>
      <c r="H6" s="6">
        <f>INDEX('5bezr. na wsi'!B3:G28,MATCH(3,B4:B25,0),6)</f>
        <v>-67</v>
      </c>
    </row>
    <row r="7" spans="1:8" x14ac:dyDescent="0.2">
      <c r="A7" s="3">
        <v>4</v>
      </c>
      <c r="B7" s="6">
        <f>RANK('5bezr. na wsi'!C6,'5bezr. na wsi'!$C$3:'5bezr. na wsi'!$C$28,1)+COUNTIF('5bezr. na wsi'!$C$3:'5bezr. na wsi'!C6,'5bezr. na wsi'!C6)-1</f>
        <v>16</v>
      </c>
      <c r="C7" s="5" t="str">
        <f>INDEX('5bezr. na wsi'!B3:G28,MATCH(4,B4:B25,0),1)</f>
        <v>lubaczowski</v>
      </c>
      <c r="D7" s="6">
        <f>INDEX('5bezr. na wsi'!B3:G28,MATCH(4,B4:B25,0),2)</f>
        <v>1062</v>
      </c>
      <c r="E7" s="61">
        <f>INDEX('5bezr. na wsi'!B3:G28,MATCH(4,B4:B25,0),3)</f>
        <v>1028</v>
      </c>
      <c r="F7" s="6">
        <f>INDEX('5bezr. na wsi'!B3:G28,MATCH(4,B4:B25,0),4)</f>
        <v>34</v>
      </c>
      <c r="G7" s="61">
        <f>INDEX('5bezr. na wsi'!B3:G28,MATCH(4,B4:B25,0),5)</f>
        <v>1047</v>
      </c>
      <c r="H7" s="6">
        <f>INDEX('5bezr. na wsi'!B3:G28,MATCH(4,B4:B25,0),6)</f>
        <v>15</v>
      </c>
    </row>
    <row r="8" spans="1:8" x14ac:dyDescent="0.2">
      <c r="A8" s="3">
        <v>5</v>
      </c>
      <c r="B8" s="6">
        <f>RANK('5bezr. na wsi'!C7,'5bezr. na wsi'!$C$3:'5bezr. na wsi'!$C$28,1)+COUNTIF('5bezr. na wsi'!$C$3:'5bezr. na wsi'!C7,'5bezr. na wsi'!C7)-1</f>
        <v>20</v>
      </c>
      <c r="C8" s="5" t="str">
        <f>INDEX('5bezr. na wsi'!B3:G28,MATCH(5,B4:B25,0),1)</f>
        <v>leski</v>
      </c>
      <c r="D8" s="6">
        <f>INDEX('5bezr. na wsi'!B3:G28,MATCH(5,B4:B25,0),2)</f>
        <v>1228</v>
      </c>
      <c r="E8" s="61">
        <f>INDEX('5bezr. na wsi'!B3:G28,MATCH(5,B4:B25,0),3)</f>
        <v>1283</v>
      </c>
      <c r="F8" s="6">
        <f>INDEX('5bezr. na wsi'!B3:G28,MATCH(5,B4:B25,0),4)</f>
        <v>-55</v>
      </c>
      <c r="G8" s="61">
        <f>INDEX('5bezr. na wsi'!B3:G28,MATCH(5,B4:B25,0),5)</f>
        <v>1262</v>
      </c>
      <c r="H8" s="6">
        <f>INDEX('5bezr. na wsi'!B3:G28,MATCH(5,B4:B25,0),6)</f>
        <v>-34</v>
      </c>
    </row>
    <row r="9" spans="1:8" x14ac:dyDescent="0.2">
      <c r="A9" s="3">
        <v>6</v>
      </c>
      <c r="B9" s="6">
        <f>RANK('5bezr. na wsi'!C8,'5bezr. na wsi'!$C$3:'5bezr. na wsi'!$C$28,1)+COUNTIF('5bezr. na wsi'!$C$3:'5bezr. na wsi'!C8,'5bezr. na wsi'!C8)-1</f>
        <v>6</v>
      </c>
      <c r="C9" s="5" t="str">
        <f>INDEX('5bezr. na wsi'!B3:G28,MATCH(6,B4:B25,0),1)</f>
        <v>kolbuszowski</v>
      </c>
      <c r="D9" s="6">
        <f>INDEX('5bezr. na wsi'!B3:G28,MATCH(6,B4:B25,0),2)</f>
        <v>1340</v>
      </c>
      <c r="E9" s="61">
        <f>INDEX('5bezr. na wsi'!B3:G28,MATCH(6,B4:B25,0),3)</f>
        <v>1336</v>
      </c>
      <c r="F9" s="6">
        <f>INDEX('5bezr. na wsi'!B3:G28,MATCH(6,B4:B25,0),4)</f>
        <v>4</v>
      </c>
      <c r="G9" s="61">
        <f>INDEX('5bezr. na wsi'!B3:G28,MATCH(6,B4:B25,0),5)</f>
        <v>1423</v>
      </c>
      <c r="H9" s="6">
        <f>INDEX('5bezr. na wsi'!B3:G28,MATCH(6,B4:B25,0),6)</f>
        <v>-83</v>
      </c>
    </row>
    <row r="10" spans="1:8" x14ac:dyDescent="0.2">
      <c r="A10" s="3">
        <v>7</v>
      </c>
      <c r="B10" s="6">
        <f>RANK('5bezr. na wsi'!C9,'5bezr. na wsi'!$C$3:'5bezr. na wsi'!$C$28,1)+COUNTIF('5bezr. na wsi'!$C$3:'5bezr. na wsi'!C9,'5bezr. na wsi'!C9)-1</f>
        <v>11</v>
      </c>
      <c r="C10" s="9" t="str">
        <f>INDEX('5bezr. na wsi'!B3:G28,MATCH(7,B4:B25,0),1)</f>
        <v>dębicki</v>
      </c>
      <c r="D10" s="6">
        <f>INDEX('5bezr. na wsi'!B3:G28,MATCH(7,B4:B25,0),2)</f>
        <v>1386</v>
      </c>
      <c r="E10" s="61">
        <f>INDEX('5bezr. na wsi'!B3:G28,MATCH(7,B4:B25,0),3)</f>
        <v>1399</v>
      </c>
      <c r="F10" s="6">
        <f>INDEX('5bezr. na wsi'!B3:G28,MATCH(7,B4:B25,0),4)</f>
        <v>-13</v>
      </c>
      <c r="G10" s="61">
        <f>INDEX('5bezr. na wsi'!B3:G28,MATCH(7,B4:B25,0),5)</f>
        <v>1431</v>
      </c>
      <c r="H10" s="6">
        <f>INDEX('5bezr. na wsi'!B3:G28,MATCH(7,B4:B25,0),6)</f>
        <v>-45</v>
      </c>
    </row>
    <row r="11" spans="1:8" x14ac:dyDescent="0.2">
      <c r="A11" s="3">
        <v>8</v>
      </c>
      <c r="B11" s="6">
        <f>RANK('5bezr. na wsi'!C10,'5bezr. na wsi'!$C$3:'5bezr. na wsi'!$C$28,1)+COUNTIF('5bezr. na wsi'!$C$3:'5bezr. na wsi'!C10,'5bezr. na wsi'!C10)-1</f>
        <v>5</v>
      </c>
      <c r="C11" s="5" t="str">
        <f>INDEX('5bezr. na wsi'!B3:G28,MATCH(8,B4:B25,0),1)</f>
        <v>mielecki</v>
      </c>
      <c r="D11" s="6">
        <f>INDEX('5bezr. na wsi'!B3:G28,MATCH(8,B4:B25,0),2)</f>
        <v>1403</v>
      </c>
      <c r="E11" s="61">
        <f>INDEX('5bezr. na wsi'!B3:G28,MATCH(8,B4:B25,0),3)</f>
        <v>1379</v>
      </c>
      <c r="F11" s="6">
        <f>INDEX('5bezr. na wsi'!B3:G28,MATCH(8,B4:B25,0),4)</f>
        <v>24</v>
      </c>
      <c r="G11" s="61">
        <f>INDEX('5bezr. na wsi'!B3:G28,MATCH(8,B4:B25,0),5)</f>
        <v>1246</v>
      </c>
      <c r="H11" s="6">
        <f>INDEX('5bezr. na wsi'!B3:G28,MATCH(8,B4:B25,0),6)</f>
        <v>157</v>
      </c>
    </row>
    <row r="12" spans="1:8" x14ac:dyDescent="0.2">
      <c r="A12" s="3">
        <v>9</v>
      </c>
      <c r="B12" s="6">
        <f>RANK('5bezr. na wsi'!C11,'5bezr. na wsi'!$C$3:'5bezr. na wsi'!$C$28,1)+COUNTIF('5bezr. na wsi'!$C$3:'5bezr. na wsi'!C11,'5bezr. na wsi'!C11)-1</f>
        <v>14</v>
      </c>
      <c r="C12" s="5" t="str">
        <f>INDEX('5bezr. na wsi'!B3:G28,MATCH(9,B4:B25,0),1)</f>
        <v>sanocki</v>
      </c>
      <c r="D12" s="6">
        <f>INDEX('5bezr. na wsi'!B3:G28,MATCH(9,B4:B25,0),2)</f>
        <v>1524</v>
      </c>
      <c r="E12" s="61">
        <f>INDEX('5bezr. na wsi'!B3:G28,MATCH(9,B4:B25,0),3)</f>
        <v>1514</v>
      </c>
      <c r="F12" s="6">
        <f>INDEX('5bezr. na wsi'!B3:G28,MATCH(9,B4:B25,0),4)</f>
        <v>10</v>
      </c>
      <c r="G12" s="61">
        <f>INDEX('5bezr. na wsi'!B3:G28,MATCH(9,B4:B25,0),5)</f>
        <v>1360</v>
      </c>
      <c r="H12" s="6">
        <f>INDEX('5bezr. na wsi'!B3:G28,MATCH(9,B4:B25,0),6)</f>
        <v>164</v>
      </c>
    </row>
    <row r="13" spans="1:8" x14ac:dyDescent="0.2">
      <c r="A13" s="3">
        <v>10</v>
      </c>
      <c r="B13" s="6">
        <f>RANK('5bezr. na wsi'!C12,'5bezr. na wsi'!$C$3:'5bezr. na wsi'!$C$28,1)+COUNTIF('5bezr. na wsi'!$C$3:'5bezr. na wsi'!C12,'5bezr. na wsi'!C12)-1</f>
        <v>4</v>
      </c>
      <c r="C13" s="5" t="str">
        <f>INDEX('5bezr. na wsi'!B3:G28,MATCH(10,B4:B25,0),1)</f>
        <v>ropczycko-sędziszowski</v>
      </c>
      <c r="D13" s="6">
        <f>INDEX('5bezr. na wsi'!B3:G28,MATCH(10,B4:B25,0),2)</f>
        <v>1665</v>
      </c>
      <c r="E13" s="61">
        <f>INDEX('5bezr. na wsi'!B3:G28,MATCH(10,B4:B25,0),3)</f>
        <v>1654</v>
      </c>
      <c r="F13" s="6">
        <f>INDEX('5bezr. na wsi'!B3:G28,MATCH(10,B4:B25,0),4)</f>
        <v>11</v>
      </c>
      <c r="G13" s="61">
        <f>INDEX('5bezr. na wsi'!B3:G28,MATCH(10,B4:B25,0),5)</f>
        <v>1932</v>
      </c>
      <c r="H13" s="6">
        <f>INDEX('5bezr. na wsi'!B3:G28,MATCH(10,B4:B25,0),6)</f>
        <v>-267</v>
      </c>
    </row>
    <row r="14" spans="1:8" x14ac:dyDescent="0.2">
      <c r="A14" s="3">
        <v>11</v>
      </c>
      <c r="B14" s="6">
        <f>RANK('5bezr. na wsi'!C13,'5bezr. na wsi'!$C$3:'5bezr. na wsi'!$C$28,1)+COUNTIF('5bezr. na wsi'!$C$3:'5bezr. na wsi'!C13,'5bezr. na wsi'!C13)-1</f>
        <v>13</v>
      </c>
      <c r="C14" s="5" t="str">
        <f>INDEX('5bezr. na wsi'!B3:G28,MATCH(11,B4:B25,0),1)</f>
        <v>krośnieński</v>
      </c>
      <c r="D14" s="6">
        <f>INDEX('5bezr. na wsi'!B3:G28,MATCH(11,B4:B25,0),2)</f>
        <v>1890</v>
      </c>
      <c r="E14" s="61">
        <f>INDEX('5bezr. na wsi'!B3:G28,MATCH(11,B4:B25,0),3)</f>
        <v>1873</v>
      </c>
      <c r="F14" s="6">
        <f>INDEX('5bezr. na wsi'!B3:G28,MATCH(11,B4:B25,0),4)</f>
        <v>17</v>
      </c>
      <c r="G14" s="61">
        <f>INDEX('5bezr. na wsi'!B3:G28,MATCH(11,B4:B25,0),5)</f>
        <v>1678</v>
      </c>
      <c r="H14" s="6">
        <f>INDEX('5bezr. na wsi'!B3:G28,MATCH(11,B4:B25,0),6)</f>
        <v>212</v>
      </c>
    </row>
    <row r="15" spans="1:8" x14ac:dyDescent="0.2">
      <c r="A15" s="3">
        <v>12</v>
      </c>
      <c r="B15" s="6">
        <f>RANK('5bezr. na wsi'!C14,'5bezr. na wsi'!$C$3:'5bezr. na wsi'!$C$28,1)+COUNTIF('5bezr. na wsi'!$C$3:'5bezr. na wsi'!C14,'5bezr. na wsi'!C14)-1</f>
        <v>8</v>
      </c>
      <c r="C15" s="5" t="str">
        <f>INDEX('5bezr. na wsi'!B3:G28,MATCH(12,B4:B25,0),1)</f>
        <v>niżański</v>
      </c>
      <c r="D15" s="6">
        <f>INDEX('5bezr. na wsi'!B3:G28,MATCH(12,B4:B25,0),2)</f>
        <v>1978</v>
      </c>
      <c r="E15" s="61">
        <f>INDEX('5bezr. na wsi'!B3:G28,MATCH(12,B4:B25,0),3)</f>
        <v>1944</v>
      </c>
      <c r="F15" s="6">
        <f>INDEX('5bezr. na wsi'!B3:G28,MATCH(12,B4:B25,0),4)</f>
        <v>34</v>
      </c>
      <c r="G15" s="61">
        <f>INDEX('5bezr. na wsi'!B3:G28,MATCH(12,B4:B25,0),5)</f>
        <v>2033</v>
      </c>
      <c r="H15" s="6">
        <f>INDEX('5bezr. na wsi'!B3:G28,MATCH(12,B4:B25,0),6)</f>
        <v>-55</v>
      </c>
    </row>
    <row r="16" spans="1:8" x14ac:dyDescent="0.2">
      <c r="A16" s="3">
        <v>13</v>
      </c>
      <c r="B16" s="6">
        <f>RANK('5bezr. na wsi'!C15,'5bezr. na wsi'!$C$3:'5bezr. na wsi'!$C$28,1)+COUNTIF('5bezr. na wsi'!$C$3:'5bezr. na wsi'!C15,'5bezr. na wsi'!C15)-1</f>
        <v>12</v>
      </c>
      <c r="C16" s="5" t="str">
        <f>INDEX('5bezr. na wsi'!B3:G28,MATCH(13,B4:B25,0),1)</f>
        <v>łańcucki</v>
      </c>
      <c r="D16" s="6">
        <f>INDEX('5bezr. na wsi'!B3:G28,MATCH(13,B4:B25,0),2)</f>
        <v>1993</v>
      </c>
      <c r="E16" s="61">
        <f>INDEX('5bezr. na wsi'!B3:G28,MATCH(13,B4:B25,0),3)</f>
        <v>1947</v>
      </c>
      <c r="F16" s="6">
        <f>INDEX('5bezr. na wsi'!B3:G28,MATCH(13,B4:B25,0),4)</f>
        <v>46</v>
      </c>
      <c r="G16" s="61">
        <f>INDEX('5bezr. na wsi'!B3:G28,MATCH(13,B4:B25,0),5)</f>
        <v>2175</v>
      </c>
      <c r="H16" s="6">
        <f>INDEX('5bezr. na wsi'!B3:G28,MATCH(13,B4:B25,0),6)</f>
        <v>-182</v>
      </c>
    </row>
    <row r="17" spans="1:8" x14ac:dyDescent="0.2">
      <c r="A17" s="3">
        <v>14</v>
      </c>
      <c r="B17" s="6">
        <f>RANK('5bezr. na wsi'!C16,'5bezr. na wsi'!$C$3:'5bezr. na wsi'!$C$28,1)+COUNTIF('5bezr. na wsi'!$C$3:'5bezr. na wsi'!C16,'5bezr. na wsi'!C16)-1</f>
        <v>18</v>
      </c>
      <c r="C17" s="5" t="str">
        <f>INDEX('5bezr. na wsi'!B3:G28,MATCH(14,B4:B25,0),1)</f>
        <v>leżajski</v>
      </c>
      <c r="D17" s="6">
        <f>INDEX('5bezr. na wsi'!B3:G28,MATCH(14,B4:B25,0),2)</f>
        <v>2229</v>
      </c>
      <c r="E17" s="61">
        <f>INDEX('5bezr. na wsi'!B3:G28,MATCH(14,B4:B25,0),3)</f>
        <v>2210</v>
      </c>
      <c r="F17" s="6">
        <f>INDEX('5bezr. na wsi'!B3:G28,MATCH(14,B4:B25,0),4)</f>
        <v>19</v>
      </c>
      <c r="G17" s="61">
        <f>INDEX('5bezr. na wsi'!B3:G28,MATCH(14,B4:B25,0),5)</f>
        <v>2427</v>
      </c>
      <c r="H17" s="6">
        <f>INDEX('5bezr. na wsi'!B3:G28,MATCH(14,B4:B25,0),6)</f>
        <v>-198</v>
      </c>
    </row>
    <row r="18" spans="1:8" x14ac:dyDescent="0.2">
      <c r="A18" s="3">
        <v>15</v>
      </c>
      <c r="B18" s="6">
        <f>RANK('5bezr. na wsi'!C17,'5bezr. na wsi'!$C$3:'5bezr. na wsi'!$C$28,1)+COUNTIF('5bezr. na wsi'!$C$3:'5bezr. na wsi'!C17,'5bezr. na wsi'!C17)-1</f>
        <v>15</v>
      </c>
      <c r="C18" s="5" t="str">
        <f>INDEX('5bezr. na wsi'!B3:G28,MATCH(15,B4:B25,0),1)</f>
        <v>przeworski</v>
      </c>
      <c r="D18" s="6">
        <f>INDEX('5bezr. na wsi'!B3:G28,MATCH(15,B4:B25,0),2)</f>
        <v>2491</v>
      </c>
      <c r="E18" s="61">
        <f>INDEX('5bezr. na wsi'!B3:G28,MATCH(15,B4:B25,0),3)</f>
        <v>2388</v>
      </c>
      <c r="F18" s="6">
        <f>INDEX('5bezr. na wsi'!B3:G28,MATCH(15,B4:B25,0),4)</f>
        <v>103</v>
      </c>
      <c r="G18" s="61">
        <f>INDEX('5bezr. na wsi'!B3:G28,MATCH(15,B4:B25,0),5)</f>
        <v>2645</v>
      </c>
      <c r="H18" s="6">
        <f>INDEX('5bezr. na wsi'!B3:G28,MATCH(15,B4:B25,0),6)</f>
        <v>-154</v>
      </c>
    </row>
    <row r="19" spans="1:8" x14ac:dyDescent="0.2">
      <c r="A19" s="3">
        <v>16</v>
      </c>
      <c r="B19" s="6">
        <f>RANK('5bezr. na wsi'!C18,'5bezr. na wsi'!$C$3:'5bezr. na wsi'!$C$28,1)+COUNTIF('5bezr. na wsi'!$C$3:'5bezr. na wsi'!C18,'5bezr. na wsi'!C18)-1</f>
        <v>10</v>
      </c>
      <c r="C19" s="5" t="str">
        <f>INDEX('5bezr. na wsi'!B3:G28,MATCH(16,B4:B25,0),1)</f>
        <v>jarosławski</v>
      </c>
      <c r="D19" s="6">
        <f>INDEX('5bezr. na wsi'!B3:G28,MATCH(16,B4:B25,0),2)</f>
        <v>2601</v>
      </c>
      <c r="E19" s="61">
        <f>INDEX('5bezr. na wsi'!B3:G28,MATCH(16,B4:B25,0),3)</f>
        <v>2621</v>
      </c>
      <c r="F19" s="6">
        <f>INDEX('5bezr. na wsi'!B3:G28,MATCH(16,B4:B25,0),4)</f>
        <v>-20</v>
      </c>
      <c r="G19" s="61">
        <f>INDEX('5bezr. na wsi'!B3:G28,MATCH(16,B4:B25,0),5)</f>
        <v>2863</v>
      </c>
      <c r="H19" s="6">
        <f>INDEX('5bezr. na wsi'!B3:G28,MATCH(16,B4:B25,0),6)</f>
        <v>-262</v>
      </c>
    </row>
    <row r="20" spans="1:8" x14ac:dyDescent="0.2">
      <c r="A20" s="3">
        <v>17</v>
      </c>
      <c r="B20" s="6">
        <f>RANK('5bezr. na wsi'!C19,'5bezr. na wsi'!$C$3:'5bezr. na wsi'!$C$28,1)+COUNTIF('5bezr. na wsi'!$C$3:'5bezr. na wsi'!C19,'5bezr. na wsi'!C19)-1</f>
        <v>21</v>
      </c>
      <c r="C20" s="5" t="str">
        <f>INDEX('5bezr. na wsi'!B3:G28,MATCH(17,B4:B25,0),1)</f>
        <v>strzyżowski</v>
      </c>
      <c r="D20" s="6">
        <f>INDEX('5bezr. na wsi'!B3:G28,MATCH(17,B4:B25,0),2)</f>
        <v>2708</v>
      </c>
      <c r="E20" s="61">
        <f>INDEX('5bezr. na wsi'!B3:G28,MATCH(17,B4:B25,0),3)</f>
        <v>2704</v>
      </c>
      <c r="F20" s="6">
        <f>INDEX('5bezr. na wsi'!B3:G28,MATCH(17,B4:B25,0),4)</f>
        <v>4</v>
      </c>
      <c r="G20" s="61">
        <f>INDEX('5bezr. na wsi'!B3:G28,MATCH(17,B4:B25,0),5)</f>
        <v>2872</v>
      </c>
      <c r="H20" s="6">
        <f>INDEX('5bezr. na wsi'!B3:G28,MATCH(17,B4:B25,0),6)</f>
        <v>-164</v>
      </c>
    </row>
    <row r="21" spans="1:8" x14ac:dyDescent="0.2">
      <c r="A21" s="3">
        <v>18</v>
      </c>
      <c r="B21" s="6">
        <f>RANK('5bezr. na wsi'!C20,'5bezr. na wsi'!$C$3:'5bezr. na wsi'!$C$28,1)+COUNTIF('5bezr. na wsi'!$C$3:'5bezr. na wsi'!C20,'5bezr. na wsi'!C20)-1</f>
        <v>9</v>
      </c>
      <c r="C21" s="5" t="str">
        <f>INDEX('5bezr. na wsi'!B3:G28,MATCH(18,B4:B25,0),1)</f>
        <v>przemyski</v>
      </c>
      <c r="D21" s="6">
        <f>INDEX('5bezr. na wsi'!B3:G28,MATCH(18,B4:B25,0),2)</f>
        <v>2719</v>
      </c>
      <c r="E21" s="61">
        <f>INDEX('5bezr. na wsi'!B3:G28,MATCH(18,B4:B25,0),3)</f>
        <v>2772</v>
      </c>
      <c r="F21" s="6">
        <f>INDEX('5bezr. na wsi'!B3:G28,MATCH(18,B4:B25,0),4)</f>
        <v>-53</v>
      </c>
      <c r="G21" s="61">
        <f>INDEX('5bezr. na wsi'!B3:G28,MATCH(18,B4:B25,0),5)</f>
        <v>2954</v>
      </c>
      <c r="H21" s="6">
        <f>INDEX('5bezr. na wsi'!B3:G28,MATCH(18,B4:B25,0),6)</f>
        <v>-235</v>
      </c>
    </row>
    <row r="22" spans="1:8" x14ac:dyDescent="0.2">
      <c r="A22" s="3">
        <v>19</v>
      </c>
      <c r="B22" s="6">
        <f>RANK('5bezr. na wsi'!C21,'5bezr. na wsi'!$C$3:'5bezr. na wsi'!$C$28,1)+COUNTIF('5bezr. na wsi'!$C$3:'5bezr. na wsi'!C21,'5bezr. na wsi'!C21)-1</f>
        <v>2</v>
      </c>
      <c r="C22" s="5" t="str">
        <f>INDEX('5bezr. na wsi'!B3:G28,MATCH(19,B4:B25,0),1)</f>
        <v>brzozowski</v>
      </c>
      <c r="D22" s="6">
        <f>INDEX('5bezr. na wsi'!B3:G28,MATCH(19,B4:B25,0),2)</f>
        <v>3304</v>
      </c>
      <c r="E22" s="61">
        <f>INDEX('5bezr. na wsi'!B3:G28,MATCH(19,B4:B25,0),3)</f>
        <v>3274</v>
      </c>
      <c r="F22" s="6">
        <f>INDEX('5bezr. na wsi'!B3:G28,MATCH(19,B4:B25,0),4)</f>
        <v>30</v>
      </c>
      <c r="G22" s="61">
        <f>INDEX('5bezr. na wsi'!B3:G28,MATCH(19,B4:B25,0),5)</f>
        <v>3612</v>
      </c>
      <c r="H22" s="6">
        <f>INDEX('5bezr. na wsi'!B3:G28,MATCH(19,B4:B25,0),6)</f>
        <v>-308</v>
      </c>
    </row>
    <row r="23" spans="1:8" x14ac:dyDescent="0.2">
      <c r="A23" s="3">
        <v>20</v>
      </c>
      <c r="B23" s="6">
        <f>RANK('5bezr. na wsi'!C22,'5bezr. na wsi'!$C$3:'5bezr. na wsi'!$C$28,1)+COUNTIF('5bezr. na wsi'!$C$3:'5bezr. na wsi'!C22,'5bezr. na wsi'!C22)-1</f>
        <v>17</v>
      </c>
      <c r="C23" s="5" t="str">
        <f>INDEX('5bezr. na wsi'!B3:G28,MATCH(20,B4:B25,0),1)</f>
        <v>jasielski</v>
      </c>
      <c r="D23" s="6">
        <f>INDEX('5bezr. na wsi'!B3:G28,MATCH(20,B4:B25,0),2)</f>
        <v>3321</v>
      </c>
      <c r="E23" s="61">
        <f>INDEX('5bezr. na wsi'!B3:G28,MATCH(20,B4:B25,0),3)</f>
        <v>3321</v>
      </c>
      <c r="F23" s="6">
        <f>INDEX('5bezr. na wsi'!B3:G28,MATCH(20,B4:B25,0),4)</f>
        <v>0</v>
      </c>
      <c r="G23" s="61">
        <f>INDEX('5bezr. na wsi'!B3:G28,MATCH(20,B4:B25,0),5)</f>
        <v>3299</v>
      </c>
      <c r="H23" s="6">
        <f>INDEX('5bezr. na wsi'!B3:G28,MATCH(20,B4:B25,0),6)</f>
        <v>22</v>
      </c>
    </row>
    <row r="24" spans="1:8" x14ac:dyDescent="0.2">
      <c r="A24" s="3">
        <v>21</v>
      </c>
      <c r="B24" s="6">
        <f>RANK('5bezr. na wsi'!C23,'5bezr. na wsi'!$C$3:'5bezr. na wsi'!$C$28,1)+COUNTIF('5bezr. na wsi'!$C$3:'5bezr. na wsi'!C23,'5bezr. na wsi'!C23)-1</f>
        <v>3</v>
      </c>
      <c r="C24" s="5" t="str">
        <f>INDEX('5bezr. na wsi'!B3:G28,MATCH(21,B4:B25,0),1)</f>
        <v>rzeszowski</v>
      </c>
      <c r="D24" s="6">
        <f>INDEX('5bezr. na wsi'!B3:G28,MATCH(21,B4:B25,0),2)</f>
        <v>3639</v>
      </c>
      <c r="E24" s="61">
        <f>INDEX('5bezr. na wsi'!B3:G28,MATCH(21,B4:B25,0),3)</f>
        <v>3625</v>
      </c>
      <c r="F24" s="6">
        <f>INDEX('5bezr. na wsi'!B3:G28,MATCH(21,B4:B25,0),4)</f>
        <v>14</v>
      </c>
      <c r="G24" s="61">
        <f>INDEX('5bezr. na wsi'!B3:G28,MATCH(21,B4:B25,0),5)</f>
        <v>3921</v>
      </c>
      <c r="H24" s="6">
        <f>INDEX('5bezr. na wsi'!B3:G28,MATCH(21,B4:B25,0),6)</f>
        <v>-282</v>
      </c>
    </row>
    <row r="25" spans="1:8" ht="15" x14ac:dyDescent="0.25">
      <c r="A25" s="3">
        <v>22</v>
      </c>
      <c r="B25" s="59">
        <f>RANK('5bezr. na wsi'!C24,'5bezr. na wsi'!$C$3:'5bezr. na wsi'!$C$28,1)+COUNTIF('5bezr. na wsi'!$C$3:'5bezr. na wsi'!C24,'5bezr. na wsi'!C24)-1</f>
        <v>22</v>
      </c>
      <c r="C25" s="77" t="str">
        <f>INDEX('5bezr. na wsi'!B3:G28,MATCH(22,B4:B25,0),1)</f>
        <v>województwo</v>
      </c>
      <c r="D25" s="59">
        <f>INDEX('5bezr. na wsi'!B3:G28,MATCH(22,B4:B25,0),2)</f>
        <v>40847</v>
      </c>
      <c r="E25" s="63">
        <f>INDEX('5bezr. na wsi'!B3:G28,MATCH(22,B4:B25,0),3)</f>
        <v>40617</v>
      </c>
      <c r="F25" s="59">
        <f>INDEX('5bezr. na wsi'!B3:G28,MATCH(22,B4:B25,0),4)</f>
        <v>230</v>
      </c>
      <c r="G25" s="63">
        <f>INDEX('5bezr. na wsi'!B3:G28,MATCH(22,B4:B25,0),5)</f>
        <v>42694</v>
      </c>
      <c r="H25" s="59">
        <f>INDEX('5bezr. na wsi'!B3:G28,MATCH(22,B4:B25,0),6)</f>
        <v>-1847</v>
      </c>
    </row>
  </sheetData>
  <pageMargins left="0" right="0" top="0.31496062992125984" bottom="0" header="0" footer="0"/>
  <pageSetup paperSize="9" scale="7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18.7109375" style="3" customWidth="1"/>
    <col min="5" max="5" width="17.5703125" style="3" customWidth="1"/>
    <col min="6" max="6" width="19.28515625" style="3" customWidth="1"/>
    <col min="7" max="7" width="17.28515625" style="3" customWidth="1"/>
    <col min="8" max="16384" width="9.140625" style="3"/>
  </cols>
  <sheetData>
    <row r="1" spans="2:8" ht="19.5" customHeight="1" x14ac:dyDescent="0.2">
      <c r="B1" s="1" t="s">
        <v>79</v>
      </c>
      <c r="C1" s="42"/>
      <c r="D1" s="42"/>
      <c r="E1" s="42"/>
      <c r="F1" s="42"/>
      <c r="G1" s="42"/>
    </row>
    <row r="2" spans="2:8" ht="57" x14ac:dyDescent="0.2">
      <c r="B2" s="55" t="s">
        <v>27</v>
      </c>
      <c r="C2" s="56" t="s">
        <v>139</v>
      </c>
      <c r="D2" s="57" t="s">
        <v>122</v>
      </c>
      <c r="E2" s="56" t="s">
        <v>28</v>
      </c>
      <c r="F2" s="57" t="s">
        <v>138</v>
      </c>
      <c r="G2" s="56" t="s">
        <v>26</v>
      </c>
    </row>
    <row r="3" spans="2:8" x14ac:dyDescent="0.2">
      <c r="B3" s="5" t="s">
        <v>0</v>
      </c>
      <c r="C3" s="6">
        <v>603</v>
      </c>
      <c r="D3" s="61">
        <v>601</v>
      </c>
      <c r="E3" s="6">
        <f t="shared" ref="E3:E27" si="0">SUM(C3)-D3</f>
        <v>2</v>
      </c>
      <c r="F3" s="61">
        <v>644</v>
      </c>
      <c r="G3" s="6">
        <f t="shared" ref="G3:G27" si="1">SUM(C3)-F3</f>
        <v>-41</v>
      </c>
      <c r="H3" s="7"/>
    </row>
    <row r="4" spans="2:8" x14ac:dyDescent="0.2">
      <c r="B4" s="5" t="s">
        <v>1</v>
      </c>
      <c r="C4" s="6">
        <v>2377</v>
      </c>
      <c r="D4" s="61">
        <v>2379</v>
      </c>
      <c r="E4" s="6">
        <f t="shared" si="0"/>
        <v>-2</v>
      </c>
      <c r="F4" s="61">
        <v>2630</v>
      </c>
      <c r="G4" s="6">
        <f t="shared" si="1"/>
        <v>-253</v>
      </c>
      <c r="H4" s="7"/>
    </row>
    <row r="5" spans="2:8" x14ac:dyDescent="0.2">
      <c r="B5" s="5" t="s">
        <v>2</v>
      </c>
      <c r="C5" s="6">
        <v>982</v>
      </c>
      <c r="D5" s="61">
        <v>979</v>
      </c>
      <c r="E5" s="6">
        <f t="shared" si="0"/>
        <v>3</v>
      </c>
      <c r="F5" s="61">
        <v>1172</v>
      </c>
      <c r="G5" s="6">
        <f t="shared" si="1"/>
        <v>-190</v>
      </c>
      <c r="H5" s="7"/>
    </row>
    <row r="6" spans="2:8" x14ac:dyDescent="0.2">
      <c r="B6" s="5" t="s">
        <v>3</v>
      </c>
      <c r="C6" s="6">
        <v>2508</v>
      </c>
      <c r="D6" s="61">
        <v>2531</v>
      </c>
      <c r="E6" s="6">
        <f t="shared" si="0"/>
        <v>-23</v>
      </c>
      <c r="F6" s="61">
        <v>2926</v>
      </c>
      <c r="G6" s="6">
        <f t="shared" si="1"/>
        <v>-418</v>
      </c>
      <c r="H6" s="7"/>
    </row>
    <row r="7" spans="2:8" x14ac:dyDescent="0.2">
      <c r="B7" s="5" t="s">
        <v>4</v>
      </c>
      <c r="C7" s="6">
        <v>2939</v>
      </c>
      <c r="D7" s="61">
        <v>2906</v>
      </c>
      <c r="E7" s="6">
        <f t="shared" si="0"/>
        <v>33</v>
      </c>
      <c r="F7" s="61">
        <v>3167</v>
      </c>
      <c r="G7" s="6">
        <f t="shared" si="1"/>
        <v>-228</v>
      </c>
      <c r="H7" s="7"/>
    </row>
    <row r="8" spans="2:8" x14ac:dyDescent="0.2">
      <c r="B8" s="5" t="s">
        <v>5</v>
      </c>
      <c r="C8" s="6">
        <v>749</v>
      </c>
      <c r="D8" s="61">
        <v>760</v>
      </c>
      <c r="E8" s="6">
        <f t="shared" si="0"/>
        <v>-11</v>
      </c>
      <c r="F8" s="61">
        <v>854</v>
      </c>
      <c r="G8" s="6">
        <f t="shared" si="1"/>
        <v>-105</v>
      </c>
      <c r="H8" s="7"/>
    </row>
    <row r="9" spans="2:8" x14ac:dyDescent="0.2">
      <c r="B9" s="9" t="s">
        <v>6</v>
      </c>
      <c r="C9" s="6">
        <v>912</v>
      </c>
      <c r="D9" s="61">
        <v>935</v>
      </c>
      <c r="E9" s="6">
        <f t="shared" si="0"/>
        <v>-23</v>
      </c>
      <c r="F9" s="61">
        <v>950</v>
      </c>
      <c r="G9" s="6">
        <f t="shared" si="1"/>
        <v>-38</v>
      </c>
      <c r="H9" s="7"/>
    </row>
    <row r="10" spans="2:8" x14ac:dyDescent="0.2">
      <c r="B10" s="5" t="s">
        <v>7</v>
      </c>
      <c r="C10" s="6">
        <v>1017</v>
      </c>
      <c r="D10" s="61">
        <v>1048</v>
      </c>
      <c r="E10" s="6">
        <f t="shared" si="0"/>
        <v>-31</v>
      </c>
      <c r="F10" s="61">
        <v>1016</v>
      </c>
      <c r="G10" s="6">
        <f t="shared" si="1"/>
        <v>1</v>
      </c>
      <c r="H10" s="7"/>
    </row>
    <row r="11" spans="2:8" x14ac:dyDescent="0.2">
      <c r="B11" s="5" t="s">
        <v>8</v>
      </c>
      <c r="C11" s="6">
        <v>1748</v>
      </c>
      <c r="D11" s="61">
        <v>1763</v>
      </c>
      <c r="E11" s="6">
        <f t="shared" si="0"/>
        <v>-15</v>
      </c>
      <c r="F11" s="61">
        <v>2047</v>
      </c>
      <c r="G11" s="6">
        <f t="shared" si="1"/>
        <v>-299</v>
      </c>
      <c r="H11" s="7"/>
    </row>
    <row r="12" spans="2:8" x14ac:dyDescent="0.2">
      <c r="B12" s="5" t="s">
        <v>9</v>
      </c>
      <c r="C12" s="6">
        <v>874</v>
      </c>
      <c r="D12" s="61">
        <v>866</v>
      </c>
      <c r="E12" s="6">
        <f t="shared" si="0"/>
        <v>8</v>
      </c>
      <c r="F12" s="61">
        <v>936</v>
      </c>
      <c r="G12" s="6">
        <f t="shared" si="1"/>
        <v>-62</v>
      </c>
      <c r="H12" s="7"/>
    </row>
    <row r="13" spans="2:8" x14ac:dyDescent="0.2">
      <c r="B13" s="5" t="s">
        <v>10</v>
      </c>
      <c r="C13" s="6">
        <v>1290</v>
      </c>
      <c r="D13" s="61">
        <v>1301</v>
      </c>
      <c r="E13" s="6">
        <f t="shared" si="0"/>
        <v>-11</v>
      </c>
      <c r="F13" s="61">
        <v>1526</v>
      </c>
      <c r="G13" s="6">
        <f t="shared" si="1"/>
        <v>-236</v>
      </c>
      <c r="H13" s="7"/>
    </row>
    <row r="14" spans="2:8" x14ac:dyDescent="0.2">
      <c r="B14" s="5" t="s">
        <v>11</v>
      </c>
      <c r="C14" s="6">
        <v>1242</v>
      </c>
      <c r="D14" s="61">
        <v>1238</v>
      </c>
      <c r="E14" s="6">
        <f t="shared" si="0"/>
        <v>4</v>
      </c>
      <c r="F14" s="61">
        <v>1301</v>
      </c>
      <c r="G14" s="6">
        <f t="shared" si="1"/>
        <v>-59</v>
      </c>
      <c r="H14" s="7"/>
    </row>
    <row r="15" spans="2:8" x14ac:dyDescent="0.2">
      <c r="B15" s="5" t="s">
        <v>12</v>
      </c>
      <c r="C15" s="6">
        <v>1734</v>
      </c>
      <c r="D15" s="61">
        <v>1742</v>
      </c>
      <c r="E15" s="6">
        <f t="shared" si="0"/>
        <v>-8</v>
      </c>
      <c r="F15" s="61">
        <v>1895</v>
      </c>
      <c r="G15" s="6">
        <f t="shared" si="1"/>
        <v>-161</v>
      </c>
      <c r="H15" s="7"/>
    </row>
    <row r="16" spans="2:8" x14ac:dyDescent="0.2">
      <c r="B16" s="5" t="s">
        <v>13</v>
      </c>
      <c r="C16" s="6">
        <v>1726</v>
      </c>
      <c r="D16" s="61">
        <v>1755</v>
      </c>
      <c r="E16" s="6">
        <f t="shared" si="0"/>
        <v>-29</v>
      </c>
      <c r="F16" s="61">
        <v>1880</v>
      </c>
      <c r="G16" s="6">
        <f t="shared" si="1"/>
        <v>-154</v>
      </c>
      <c r="H16" s="7"/>
    </row>
    <row r="17" spans="2:8" x14ac:dyDescent="0.2">
      <c r="B17" s="5" t="s">
        <v>14</v>
      </c>
      <c r="C17" s="6">
        <v>1980</v>
      </c>
      <c r="D17" s="61">
        <v>1959</v>
      </c>
      <c r="E17" s="6">
        <f t="shared" si="0"/>
        <v>21</v>
      </c>
      <c r="F17" s="61">
        <v>2224</v>
      </c>
      <c r="G17" s="6">
        <f t="shared" si="1"/>
        <v>-244</v>
      </c>
      <c r="H17" s="7"/>
    </row>
    <row r="18" spans="2:8" x14ac:dyDescent="0.2">
      <c r="B18" s="5" t="s">
        <v>15</v>
      </c>
      <c r="C18" s="6">
        <v>1393</v>
      </c>
      <c r="D18" s="61">
        <v>1405</v>
      </c>
      <c r="E18" s="6">
        <f t="shared" si="0"/>
        <v>-12</v>
      </c>
      <c r="F18" s="61">
        <v>1772</v>
      </c>
      <c r="G18" s="6">
        <f t="shared" si="1"/>
        <v>-379</v>
      </c>
      <c r="H18" s="7"/>
    </row>
    <row r="19" spans="2:8" x14ac:dyDescent="0.2">
      <c r="B19" s="5" t="s">
        <v>16</v>
      </c>
      <c r="C19" s="6">
        <v>2684</v>
      </c>
      <c r="D19" s="61">
        <v>2722</v>
      </c>
      <c r="E19" s="6">
        <f t="shared" si="0"/>
        <v>-38</v>
      </c>
      <c r="F19" s="61">
        <v>3121</v>
      </c>
      <c r="G19" s="6">
        <f t="shared" si="1"/>
        <v>-437</v>
      </c>
      <c r="H19" s="7"/>
    </row>
    <row r="20" spans="2:8" x14ac:dyDescent="0.2">
      <c r="B20" s="5" t="s">
        <v>17</v>
      </c>
      <c r="C20" s="6">
        <v>1326</v>
      </c>
      <c r="D20" s="61">
        <v>1322</v>
      </c>
      <c r="E20" s="6">
        <f t="shared" si="0"/>
        <v>4</v>
      </c>
      <c r="F20" s="61">
        <v>1243</v>
      </c>
      <c r="G20" s="6">
        <f t="shared" si="1"/>
        <v>83</v>
      </c>
      <c r="H20" s="7"/>
    </row>
    <row r="21" spans="2:8" x14ac:dyDescent="0.2">
      <c r="B21" s="5" t="s">
        <v>18</v>
      </c>
      <c r="C21" s="6">
        <v>768</v>
      </c>
      <c r="D21" s="61">
        <v>764</v>
      </c>
      <c r="E21" s="6">
        <f t="shared" si="0"/>
        <v>4</v>
      </c>
      <c r="F21" s="61">
        <v>895</v>
      </c>
      <c r="G21" s="6">
        <f t="shared" si="1"/>
        <v>-127</v>
      </c>
      <c r="H21" s="7"/>
    </row>
    <row r="22" spans="2:8" x14ac:dyDescent="0.2">
      <c r="B22" s="5" t="s">
        <v>19</v>
      </c>
      <c r="C22" s="6">
        <v>1918</v>
      </c>
      <c r="D22" s="61">
        <v>1918</v>
      </c>
      <c r="E22" s="6">
        <f t="shared" si="0"/>
        <v>0</v>
      </c>
      <c r="F22" s="61">
        <v>2160</v>
      </c>
      <c r="G22" s="6">
        <f t="shared" si="1"/>
        <v>-242</v>
      </c>
      <c r="H22" s="7"/>
    </row>
    <row r="23" spans="2:8" x14ac:dyDescent="0.2">
      <c r="B23" s="5" t="s">
        <v>20</v>
      </c>
      <c r="C23" s="6">
        <v>618</v>
      </c>
      <c r="D23" s="61">
        <v>644</v>
      </c>
      <c r="E23" s="6">
        <f t="shared" si="0"/>
        <v>-26</v>
      </c>
      <c r="F23" s="61">
        <v>741</v>
      </c>
      <c r="G23" s="6">
        <f t="shared" si="1"/>
        <v>-123</v>
      </c>
      <c r="H23" s="7"/>
    </row>
    <row r="24" spans="2:8" x14ac:dyDescent="0.2">
      <c r="B24" s="5" t="s">
        <v>21</v>
      </c>
      <c r="C24" s="6">
        <v>298</v>
      </c>
      <c r="D24" s="61">
        <v>302</v>
      </c>
      <c r="E24" s="6">
        <f t="shared" si="0"/>
        <v>-4</v>
      </c>
      <c r="F24" s="61">
        <v>342</v>
      </c>
      <c r="G24" s="6">
        <f t="shared" si="1"/>
        <v>-44</v>
      </c>
      <c r="H24" s="7"/>
    </row>
    <row r="25" spans="2:8" x14ac:dyDescent="0.2">
      <c r="B25" s="5" t="s">
        <v>22</v>
      </c>
      <c r="C25" s="43">
        <v>1534</v>
      </c>
      <c r="D25" s="61">
        <v>1557</v>
      </c>
      <c r="E25" s="43">
        <f t="shared" si="0"/>
        <v>-23</v>
      </c>
      <c r="F25" s="61">
        <v>1695</v>
      </c>
      <c r="G25" s="6">
        <f t="shared" si="1"/>
        <v>-161</v>
      </c>
      <c r="H25" s="7"/>
    </row>
    <row r="26" spans="2:8" x14ac:dyDescent="0.2">
      <c r="B26" s="5" t="s">
        <v>23</v>
      </c>
      <c r="C26" s="43">
        <v>3219</v>
      </c>
      <c r="D26" s="61">
        <v>3239</v>
      </c>
      <c r="E26" s="43">
        <f t="shared" si="0"/>
        <v>-20</v>
      </c>
      <c r="F26" s="61">
        <v>3728</v>
      </c>
      <c r="G26" s="6">
        <f t="shared" si="1"/>
        <v>-509</v>
      </c>
      <c r="H26" s="7"/>
    </row>
    <row r="27" spans="2:8" x14ac:dyDescent="0.2">
      <c r="B27" s="5" t="s">
        <v>24</v>
      </c>
      <c r="C27" s="43">
        <v>530</v>
      </c>
      <c r="D27" s="61">
        <v>537</v>
      </c>
      <c r="E27" s="43">
        <f t="shared" si="0"/>
        <v>-7</v>
      </c>
      <c r="F27" s="61">
        <v>667</v>
      </c>
      <c r="G27" s="6">
        <f t="shared" si="1"/>
        <v>-137</v>
      </c>
      <c r="H27" s="7"/>
    </row>
    <row r="28" spans="2:8" ht="15" x14ac:dyDescent="0.25">
      <c r="B28" s="58" t="s">
        <v>25</v>
      </c>
      <c r="C28" s="59">
        <f>SUM(C3:C27)</f>
        <v>36969</v>
      </c>
      <c r="D28" s="60">
        <f>SUM(D3:D27)</f>
        <v>37173</v>
      </c>
      <c r="E28" s="59">
        <f>SUM(E3:E27)</f>
        <v>-204</v>
      </c>
      <c r="F28" s="60">
        <f>SUM(F3:F27)</f>
        <v>41532</v>
      </c>
      <c r="G28" s="59">
        <f>SUM(G3:G27)</f>
        <v>-4563</v>
      </c>
      <c r="H28" s="7"/>
    </row>
    <row r="29" spans="2:8" ht="15" x14ac:dyDescent="0.25">
      <c r="B29" s="3" t="s">
        <v>97</v>
      </c>
      <c r="E29" s="19"/>
      <c r="F29" s="7"/>
      <c r="G29" s="7"/>
    </row>
    <row r="30" spans="2:8" x14ac:dyDescent="0.2">
      <c r="B30" s="3" t="s">
        <v>98</v>
      </c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91</v>
      </c>
    </row>
    <row r="2" spans="2:8" ht="15" x14ac:dyDescent="0.2">
      <c r="C2" s="20"/>
      <c r="D2" s="21"/>
    </row>
    <row r="3" spans="2:8" ht="71.25" x14ac:dyDescent="0.2">
      <c r="B3" s="62" t="s">
        <v>88</v>
      </c>
      <c r="C3" s="55" t="str">
        <f>T('6długot.'!B2)</f>
        <v>powiaty</v>
      </c>
      <c r="D3" s="55" t="str">
        <f>T('6długot.'!C2)</f>
        <v>liczba bezrobotnych pow. 12 m-cy stan na 31 VII '23 r.</v>
      </c>
      <c r="E3" s="55" t="str">
        <f>T('6długot.'!D2)</f>
        <v>liczba bezrobotnych pow. 12 m-cy stan na 30 VI '23 r.</v>
      </c>
      <c r="F3" s="55" t="str">
        <f>T('6długot.'!E2)</f>
        <v>wzrost/spadek do poprzedniego  miesiąca</v>
      </c>
      <c r="G3" s="55" t="str">
        <f>T('6długot.'!F2)</f>
        <v>liczba bezrobotnych pow. 12 m-cy,  stan na 31 VII '22 r.</v>
      </c>
      <c r="H3" s="55" t="str">
        <f>T('6długot.'!G2)</f>
        <v>wzrost/spadek do analogicznego okresu ubr.</v>
      </c>
    </row>
    <row r="4" spans="2:8" x14ac:dyDescent="0.2">
      <c r="B4" s="6">
        <f>RANK('6długot.'!C3,'6długot.'!$C$3:'6długot.'!$C$28,1)+COUNTIF('6długot.'!$C$3:'6długot.'!C3,'6długot.'!C3)-1</f>
        <v>3</v>
      </c>
      <c r="C4" s="5" t="str">
        <f>INDEX('6długot.'!B3:G28,MATCH(1,B4:B29,0),1)</f>
        <v>Krosno</v>
      </c>
      <c r="D4" s="25">
        <f>INDEX('6długot.'!B3:G28,MATCH(1,B4:B29,0),2)</f>
        <v>298</v>
      </c>
      <c r="E4" s="61">
        <f>INDEX('6długot.'!B3:G28,MATCH(1,B4:B29,0),3)</f>
        <v>302</v>
      </c>
      <c r="F4" s="6">
        <f>INDEX('6długot.'!B3:G28,MATCH(1,B4:B29,0),4)</f>
        <v>-4</v>
      </c>
      <c r="G4" s="61">
        <f>INDEX('6długot.'!B3:G28,MATCH(1,B4:B29,0),5)</f>
        <v>342</v>
      </c>
      <c r="H4" s="6">
        <f>INDEX('6długot.'!B3:G28,MATCH(1,B4:B29,0),6)</f>
        <v>-44</v>
      </c>
    </row>
    <row r="5" spans="2:8" x14ac:dyDescent="0.2">
      <c r="B5" s="6">
        <f>RANK('6długot.'!C4,'6długot.'!$C$3:'6długot.'!$C$28,1)+COUNTIF('6długot.'!$C$3:'6długot.'!C4,'6długot.'!C4)-1</f>
        <v>21</v>
      </c>
      <c r="C5" s="5" t="str">
        <f>INDEX('6długot.'!B3:G28,MATCH(2,B4:B29,0),1)</f>
        <v>Tarnobrzeg</v>
      </c>
      <c r="D5" s="6">
        <f>INDEX('6długot.'!B3:G28,MATCH(2,B4:B29,0),2)</f>
        <v>530</v>
      </c>
      <c r="E5" s="61">
        <f>INDEX('6długot.'!B3:G28,MATCH(2,B4:B29,0),3)</f>
        <v>537</v>
      </c>
      <c r="F5" s="6">
        <f>INDEX('6długot.'!B3:G28,MATCH(2,B4:B29,0),4)</f>
        <v>-7</v>
      </c>
      <c r="G5" s="61">
        <f>INDEX('6długot.'!B3:G28,MATCH(2,B4:B29,0),5)</f>
        <v>667</v>
      </c>
      <c r="H5" s="6">
        <f>INDEX('6długot.'!B3:G28,MATCH(2,B4:B29,0),6)</f>
        <v>-137</v>
      </c>
    </row>
    <row r="6" spans="2:8" x14ac:dyDescent="0.2">
      <c r="B6" s="6">
        <f>RANK('6długot.'!C5,'6długot.'!$C$3:'6długot.'!$C$28,1)+COUNTIF('6długot.'!$C$3:'6długot.'!C5,'6długot.'!C5)-1</f>
        <v>9</v>
      </c>
      <c r="C6" s="5" t="str">
        <f>INDEX('6długot.'!B3:G28,MATCH(3,B4:B29,0),1)</f>
        <v>bieszczadzki</v>
      </c>
      <c r="D6" s="6">
        <f>INDEX('6długot.'!B3:G28,MATCH(3,B4:B29,0),2)</f>
        <v>603</v>
      </c>
      <c r="E6" s="61">
        <f>INDEX('6długot.'!B3:G28,MATCH(3,B4:B29,0),3)</f>
        <v>601</v>
      </c>
      <c r="F6" s="6">
        <f>INDEX('6długot.'!B3:G28,MATCH(3,B4:B29,0),4)</f>
        <v>2</v>
      </c>
      <c r="G6" s="61">
        <f>INDEX('6długot.'!B3:G28,MATCH(3,B4:B29,0),5)</f>
        <v>644</v>
      </c>
      <c r="H6" s="6">
        <f>INDEX('6długot.'!B3:G28,MATCH(3,B4:B29,0),6)</f>
        <v>-41</v>
      </c>
    </row>
    <row r="7" spans="2:8" x14ac:dyDescent="0.2">
      <c r="B7" s="6">
        <f>RANK('6długot.'!C6,'6długot.'!$C$3:'6długot.'!$C$28,1)+COUNTIF('6długot.'!$C$3:'6długot.'!C6,'6długot.'!C6)-1</f>
        <v>22</v>
      </c>
      <c r="C7" s="5" t="str">
        <f>INDEX('6długot.'!B3:G28,MATCH(4,B4:B29,0),1)</f>
        <v xml:space="preserve">tarnobrzeski </v>
      </c>
      <c r="D7" s="6">
        <f>INDEX('6długot.'!B3:G28,MATCH(4,B4:B29,0),2)</f>
        <v>618</v>
      </c>
      <c r="E7" s="61">
        <f>INDEX('6długot.'!B3:G28,MATCH(4,B4:B29,0),3)</f>
        <v>644</v>
      </c>
      <c r="F7" s="6">
        <f>INDEX('6długot.'!B3:G28,MATCH(4,B4:B29,0),4)</f>
        <v>-26</v>
      </c>
      <c r="G7" s="61">
        <f>INDEX('6długot.'!B3:G28,MATCH(4,B4:B29,0),5)</f>
        <v>741</v>
      </c>
      <c r="H7" s="6">
        <f>INDEX('6długot.'!B3:G28,MATCH(4,B4:B29,0),6)</f>
        <v>-123</v>
      </c>
    </row>
    <row r="8" spans="2:8" x14ac:dyDescent="0.2">
      <c r="B8" s="6">
        <f>RANK('6długot.'!C7,'6długot.'!$C$3:'6długot.'!$C$28,1)+COUNTIF('6długot.'!$C$3:'6długot.'!C7,'6długot.'!C7)-1</f>
        <v>24</v>
      </c>
      <c r="C8" s="5" t="str">
        <f>INDEX('6długot.'!B3:G28,MATCH(5,B4:B29,0),1)</f>
        <v>kolbuszowski</v>
      </c>
      <c r="D8" s="6">
        <f>INDEX('6długot.'!B3:G28,MATCH(5,B4:B29,0),2)</f>
        <v>749</v>
      </c>
      <c r="E8" s="61">
        <f>INDEX('6długot.'!B3:G28,MATCH(5,B4:B29,0),3)</f>
        <v>760</v>
      </c>
      <c r="F8" s="6">
        <f>INDEX('6długot.'!B3:G28,MATCH(5,B4:B29,0),4)</f>
        <v>-11</v>
      </c>
      <c r="G8" s="61">
        <f>INDEX('6długot.'!B3:G28,MATCH(5,B4:B29,0),5)</f>
        <v>854</v>
      </c>
      <c r="H8" s="6">
        <f>INDEX('6długot.'!B3:G28,MATCH(5,B4:B29,0),6)</f>
        <v>-105</v>
      </c>
    </row>
    <row r="9" spans="2:8" x14ac:dyDescent="0.2">
      <c r="B9" s="6">
        <f>RANK('6długot.'!C8,'6długot.'!$C$3:'6długot.'!$C$28,1)+COUNTIF('6długot.'!$C$3:'6długot.'!C8,'6długot.'!C8)-1</f>
        <v>5</v>
      </c>
      <c r="C9" s="5" t="str">
        <f>INDEX('6długot.'!B3:G28,MATCH(6,B4:B29,0),1)</f>
        <v>stalowowolski</v>
      </c>
      <c r="D9" s="6">
        <f>INDEX('6długot.'!B3:G28,MATCH(6,B4:B29,0),2)</f>
        <v>768</v>
      </c>
      <c r="E9" s="61">
        <f>INDEX('6długot.'!B3:G28,MATCH(6,B4:B29,0),3)</f>
        <v>764</v>
      </c>
      <c r="F9" s="6">
        <f>INDEX('6długot.'!B3:G28,MATCH(6,B4:B29,0),4)</f>
        <v>4</v>
      </c>
      <c r="G9" s="61">
        <f>INDEX('6długot.'!B3:G28,MATCH(6,B4:B29,0),5)</f>
        <v>895</v>
      </c>
      <c r="H9" s="6">
        <f>INDEX('6długot.'!B3:G28,MATCH(6,B4:B29,0),6)</f>
        <v>-127</v>
      </c>
    </row>
    <row r="10" spans="2:8" x14ac:dyDescent="0.2">
      <c r="B10" s="6">
        <f>RANK('6długot.'!C9,'6długot.'!$C$3:'6długot.'!$C$28,1)+COUNTIF('6długot.'!$C$3:'6długot.'!C9,'6długot.'!C9)-1</f>
        <v>8</v>
      </c>
      <c r="C10" s="9" t="str">
        <f>INDEX('6długot.'!B3:G28,MATCH(7,B4:B29,0),1)</f>
        <v>lubaczowski</v>
      </c>
      <c r="D10" s="6">
        <f>INDEX('6długot.'!B3:G28,MATCH(7,B4:B29,0),2)</f>
        <v>874</v>
      </c>
      <c r="E10" s="61">
        <f>INDEX('6długot.'!B3:G28,MATCH(7,B4:B29,0),3)</f>
        <v>866</v>
      </c>
      <c r="F10" s="6">
        <f>INDEX('6długot.'!B3:G28,MATCH(7,B4:B29,0),4)</f>
        <v>8</v>
      </c>
      <c r="G10" s="61">
        <f>INDEX('6długot.'!B3:G28,MATCH(7,B4:B29,0),5)</f>
        <v>936</v>
      </c>
      <c r="H10" s="6">
        <f>INDEX('6długot.'!B3:G28,MATCH(7,B4:B29,0),6)</f>
        <v>-62</v>
      </c>
    </row>
    <row r="11" spans="2:8" x14ac:dyDescent="0.2">
      <c r="B11" s="6">
        <f>RANK('6długot.'!C10,'6długot.'!$C$3:'6długot.'!$C$28,1)+COUNTIF('6długot.'!$C$3:'6długot.'!C10,'6długot.'!C10)-1</f>
        <v>10</v>
      </c>
      <c r="C11" s="5" t="str">
        <f>INDEX('6długot.'!B3:G28,MATCH(8,B4:B29,0),1)</f>
        <v>krośnieński</v>
      </c>
      <c r="D11" s="6">
        <f>INDEX('6długot.'!B3:G28,MATCH(8,B4:B29,0),2)</f>
        <v>912</v>
      </c>
      <c r="E11" s="61">
        <f>INDEX('6długot.'!B3:G28,MATCH(8,B4:B29,0),3)</f>
        <v>935</v>
      </c>
      <c r="F11" s="6">
        <f>INDEX('6długot.'!B3:G28,MATCH(8,B4:B29,0),4)</f>
        <v>-23</v>
      </c>
      <c r="G11" s="61">
        <f>INDEX('6długot.'!B3:G28,MATCH(8,B4:B29,0),5)</f>
        <v>950</v>
      </c>
      <c r="H11" s="6">
        <f>INDEX('6długot.'!B3:G28,MATCH(8,B4:B29,0),6)</f>
        <v>-38</v>
      </c>
    </row>
    <row r="12" spans="2:8" x14ac:dyDescent="0.2">
      <c r="B12" s="6">
        <f>RANK('6długot.'!C11,'6długot.'!$C$3:'6długot.'!$C$28,1)+COUNTIF('6długot.'!$C$3:'6długot.'!C11,'6długot.'!C11)-1</f>
        <v>18</v>
      </c>
      <c r="C12" s="5" t="str">
        <f>INDEX('6długot.'!B3:G28,MATCH(9,B4:B29,0),1)</f>
        <v>dębicki</v>
      </c>
      <c r="D12" s="6">
        <f>INDEX('6długot.'!B3:G28,MATCH(9,B4:B29,0),2)</f>
        <v>982</v>
      </c>
      <c r="E12" s="61">
        <f>INDEX('6długot.'!B3:G28,MATCH(9,B4:B29,0),3)</f>
        <v>979</v>
      </c>
      <c r="F12" s="6">
        <f>INDEX('6długot.'!B3:G28,MATCH(9,B4:B29,0),4)</f>
        <v>3</v>
      </c>
      <c r="G12" s="61">
        <f>INDEX('6długot.'!B3:G28,MATCH(9,B4:B29,0),5)</f>
        <v>1172</v>
      </c>
      <c r="H12" s="6">
        <f>INDEX('6długot.'!B3:G28,MATCH(9,B4:B29,0),6)</f>
        <v>-190</v>
      </c>
    </row>
    <row r="13" spans="2:8" x14ac:dyDescent="0.2">
      <c r="B13" s="6">
        <f>RANK('6długot.'!C12,'6długot.'!$C$3:'6długot.'!$C$28,1)+COUNTIF('6długot.'!$C$3:'6długot.'!C12,'6długot.'!C12)-1</f>
        <v>7</v>
      </c>
      <c r="C13" s="5" t="str">
        <f>INDEX('6długot.'!B3:G28,MATCH(10,B4:B29,0),1)</f>
        <v>leski</v>
      </c>
      <c r="D13" s="6">
        <f>INDEX('6długot.'!B3:G28,MATCH(10,B4:B29,0),2)</f>
        <v>1017</v>
      </c>
      <c r="E13" s="61">
        <f>INDEX('6długot.'!B3:G28,MATCH(10,B4:B29,0),3)</f>
        <v>1048</v>
      </c>
      <c r="F13" s="6">
        <f>INDEX('6długot.'!B3:G28,MATCH(10,B4:B29,0),4)</f>
        <v>-31</v>
      </c>
      <c r="G13" s="61">
        <f>INDEX('6długot.'!B3:G28,MATCH(10,B4:B29,0),5)</f>
        <v>1016</v>
      </c>
      <c r="H13" s="6">
        <f>INDEX('6długot.'!B3:G28,MATCH(10,B4:B29,0),6)</f>
        <v>1</v>
      </c>
    </row>
    <row r="14" spans="2:8" x14ac:dyDescent="0.2">
      <c r="B14" s="6">
        <f>RANK('6długot.'!C13,'6długot.'!$C$3:'6długot.'!$C$28,1)+COUNTIF('6długot.'!$C$3:'6długot.'!C13,'6długot.'!C13)-1</f>
        <v>12</v>
      </c>
      <c r="C14" s="5" t="str">
        <f>INDEX('6długot.'!B3:G28,MATCH(11,B4:B29,0),1)</f>
        <v>mielecki</v>
      </c>
      <c r="D14" s="6">
        <f>INDEX('6długot.'!B3:G28,MATCH(11,B4:B29,0),2)</f>
        <v>1242</v>
      </c>
      <c r="E14" s="61">
        <f>INDEX('6długot.'!B3:G28,MATCH(11,B4:B29,0),3)</f>
        <v>1238</v>
      </c>
      <c r="F14" s="6">
        <f>INDEX('6długot.'!B3:G28,MATCH(11,B4:B29,0),4)</f>
        <v>4</v>
      </c>
      <c r="G14" s="61">
        <f>INDEX('6długot.'!B3:G28,MATCH(11,B4:B29,0),5)</f>
        <v>1301</v>
      </c>
      <c r="H14" s="6">
        <f>INDEX('6długot.'!B3:G28,MATCH(11,B4:B29,0),6)</f>
        <v>-59</v>
      </c>
    </row>
    <row r="15" spans="2:8" x14ac:dyDescent="0.2">
      <c r="B15" s="6">
        <f>RANK('6długot.'!C14,'6długot.'!$C$3:'6długot.'!$C$28,1)+COUNTIF('6długot.'!$C$3:'6długot.'!C14,'6długot.'!C14)-1</f>
        <v>11</v>
      </c>
      <c r="C15" s="5" t="str">
        <f>INDEX('6długot.'!B3:G28,MATCH(12,B4:B29,0),1)</f>
        <v>łańcucki</v>
      </c>
      <c r="D15" s="6">
        <f>INDEX('6długot.'!B3:G28,MATCH(12,B4:B29,0),2)</f>
        <v>1290</v>
      </c>
      <c r="E15" s="61">
        <f>INDEX('6długot.'!B3:G28,MATCH(12,B4:B29,0),3)</f>
        <v>1301</v>
      </c>
      <c r="F15" s="6">
        <f>INDEX('6długot.'!B3:G28,MATCH(12,B4:B29,0),4)</f>
        <v>-11</v>
      </c>
      <c r="G15" s="61">
        <f>INDEX('6długot.'!B3:G28,MATCH(12,B4:B29,0),5)</f>
        <v>1526</v>
      </c>
      <c r="H15" s="6">
        <f>INDEX('6długot.'!B3:G28,MATCH(12,B4:B29,0),6)</f>
        <v>-236</v>
      </c>
    </row>
    <row r="16" spans="2:8" x14ac:dyDescent="0.2">
      <c r="B16" s="6">
        <f>RANK('6długot.'!C15,'6długot.'!$C$3:'6długot.'!$C$28,1)+COUNTIF('6długot.'!$C$3:'6długot.'!C15,'6długot.'!C15)-1</f>
        <v>17</v>
      </c>
      <c r="C16" s="5" t="str">
        <f>INDEX('6długot.'!B3:G28,MATCH(13,B4:B29,0),1)</f>
        <v>sanocki</v>
      </c>
      <c r="D16" s="6">
        <f>INDEX('6długot.'!B3:G28,MATCH(13,B4:B29,0),2)</f>
        <v>1326</v>
      </c>
      <c r="E16" s="61">
        <f>INDEX('6długot.'!B3:G28,MATCH(13,B4:B29,0),3)</f>
        <v>1322</v>
      </c>
      <c r="F16" s="6">
        <f>INDEX('6długot.'!B3:G28,MATCH(13,B4:B29,0),4)</f>
        <v>4</v>
      </c>
      <c r="G16" s="61">
        <f>INDEX('6długot.'!B3:G28,MATCH(13,B4:B29,0),5)</f>
        <v>1243</v>
      </c>
      <c r="H16" s="6">
        <f>INDEX('6długot.'!B3:G28,MATCH(13,B4:B29,0),6)</f>
        <v>83</v>
      </c>
    </row>
    <row r="17" spans="2:8" x14ac:dyDescent="0.2">
      <c r="B17" s="6">
        <f>RANK('6długot.'!C16,'6długot.'!$C$3:'6długot.'!$C$28,1)+COUNTIF('6długot.'!$C$3:'6długot.'!C16,'6długot.'!C16)-1</f>
        <v>16</v>
      </c>
      <c r="C17" s="5" t="str">
        <f>INDEX('6długot.'!B3:G28,MATCH(14,B4:B29,0),1)</f>
        <v>ropczycko-sędziszowski</v>
      </c>
      <c r="D17" s="6">
        <f>INDEX('6długot.'!B3:G28,MATCH(14,B4:B29,0),2)</f>
        <v>1393</v>
      </c>
      <c r="E17" s="61">
        <f>INDEX('6długot.'!B3:G28,MATCH(14,B4:B29,0),3)</f>
        <v>1405</v>
      </c>
      <c r="F17" s="6">
        <f>INDEX('6długot.'!B3:G28,MATCH(14,B4:B29,0),4)</f>
        <v>-12</v>
      </c>
      <c r="G17" s="61">
        <f>INDEX('6długot.'!B3:G28,MATCH(14,B4:B29,0),5)</f>
        <v>1772</v>
      </c>
      <c r="H17" s="6">
        <f>INDEX('6długot.'!B3:G28,MATCH(14,B4:B29,0),6)</f>
        <v>-379</v>
      </c>
    </row>
    <row r="18" spans="2:8" x14ac:dyDescent="0.2">
      <c r="B18" s="6">
        <f>RANK('6długot.'!C17,'6długot.'!$C$3:'6długot.'!$C$28,1)+COUNTIF('6długot.'!$C$3:'6długot.'!C17,'6długot.'!C17)-1</f>
        <v>20</v>
      </c>
      <c r="C18" s="5" t="str">
        <f>INDEX('6długot.'!B3:G28,MATCH(15,B4:B29,0),1)</f>
        <v>Przemyśl</v>
      </c>
      <c r="D18" s="6">
        <f>INDEX('6długot.'!B3:G28,MATCH(15,B4:B29,0),2)</f>
        <v>1534</v>
      </c>
      <c r="E18" s="61">
        <f>INDEX('6długot.'!B3:G28,MATCH(15,B4:B29,0),3)</f>
        <v>1557</v>
      </c>
      <c r="F18" s="6">
        <f>INDEX('6długot.'!B3:G28,MATCH(15,B4:B29,0),4)</f>
        <v>-23</v>
      </c>
      <c r="G18" s="61">
        <f>INDEX('6długot.'!B3:G28,MATCH(15,B4:B29,0),5)</f>
        <v>1695</v>
      </c>
      <c r="H18" s="6">
        <f>INDEX('6długot.'!B3:G28,MATCH(15,B4:B29,0),6)</f>
        <v>-161</v>
      </c>
    </row>
    <row r="19" spans="2:8" x14ac:dyDescent="0.2">
      <c r="B19" s="6">
        <f>RANK('6długot.'!C18,'6długot.'!$C$3:'6długot.'!$C$28,1)+COUNTIF('6długot.'!$C$3:'6długot.'!C18,'6długot.'!C18)-1</f>
        <v>14</v>
      </c>
      <c r="C19" s="5" t="str">
        <f>INDEX('6długot.'!B3:G28,MATCH(16,B4:B29,0),1)</f>
        <v>przemyski</v>
      </c>
      <c r="D19" s="6">
        <f>INDEX('6długot.'!B3:G28,MATCH(16,B4:B29,0),2)</f>
        <v>1726</v>
      </c>
      <c r="E19" s="61">
        <f>INDEX('6długot.'!B3:G28,MATCH(16,B4:B29,0),3)</f>
        <v>1755</v>
      </c>
      <c r="F19" s="6">
        <f>INDEX('6długot.'!B3:G28,MATCH(16,B4:B29,0),4)</f>
        <v>-29</v>
      </c>
      <c r="G19" s="61">
        <f>INDEX('6długot.'!B3:G28,MATCH(16,B4:B29,0),5)</f>
        <v>1880</v>
      </c>
      <c r="H19" s="6">
        <f>INDEX('6długot.'!B3:G28,MATCH(16,B4:B29,0),6)</f>
        <v>-154</v>
      </c>
    </row>
    <row r="20" spans="2:8" x14ac:dyDescent="0.2">
      <c r="B20" s="6">
        <f>RANK('6długot.'!C19,'6długot.'!$C$3:'6długot.'!$C$28,1)+COUNTIF('6długot.'!$C$3:'6długot.'!C19,'6długot.'!C19)-1</f>
        <v>23</v>
      </c>
      <c r="C20" s="5" t="str">
        <f>INDEX('6długot.'!B3:G28,MATCH(17,B4:B29,0),1)</f>
        <v>niżański</v>
      </c>
      <c r="D20" s="6">
        <f>INDEX('6długot.'!B3:G28,MATCH(17,B4:B29,0),2)</f>
        <v>1734</v>
      </c>
      <c r="E20" s="61">
        <f>INDEX('6długot.'!B3:G28,MATCH(17,B4:B29,0),3)</f>
        <v>1742</v>
      </c>
      <c r="F20" s="6">
        <f>INDEX('6długot.'!B3:G28,MATCH(17,B4:B29,0),4)</f>
        <v>-8</v>
      </c>
      <c r="G20" s="61">
        <f>INDEX('6długot.'!B3:G28,MATCH(17,B4:B29,0),5)</f>
        <v>1895</v>
      </c>
      <c r="H20" s="6">
        <f>INDEX('6długot.'!B3:G28,MATCH(17,B4:B29,0),6)</f>
        <v>-161</v>
      </c>
    </row>
    <row r="21" spans="2:8" x14ac:dyDescent="0.2">
      <c r="B21" s="6">
        <f>RANK('6długot.'!C20,'6długot.'!$C$3:'6długot.'!$C$28,1)+COUNTIF('6długot.'!$C$3:'6długot.'!C20,'6długot.'!C20)-1</f>
        <v>13</v>
      </c>
      <c r="C21" s="5" t="str">
        <f>INDEX('6długot.'!B3:G28,MATCH(18,B4:B29,0),1)</f>
        <v>leżajski</v>
      </c>
      <c r="D21" s="6">
        <f>INDEX('6długot.'!B3:G28,MATCH(18,B4:B29,0),2)</f>
        <v>1748</v>
      </c>
      <c r="E21" s="61">
        <f>INDEX('6długot.'!B3:G28,MATCH(18,B4:B29,0),3)</f>
        <v>1763</v>
      </c>
      <c r="F21" s="6">
        <f>INDEX('6długot.'!B3:G28,MATCH(18,B4:B29,0),4)</f>
        <v>-15</v>
      </c>
      <c r="G21" s="61">
        <f>INDEX('6długot.'!B3:G28,MATCH(18,B4:B29,0),5)</f>
        <v>2047</v>
      </c>
      <c r="H21" s="6">
        <f>INDEX('6długot.'!B3:G28,MATCH(18,B4:B29,0),6)</f>
        <v>-299</v>
      </c>
    </row>
    <row r="22" spans="2:8" x14ac:dyDescent="0.2">
      <c r="B22" s="6">
        <f>RANK('6długot.'!C21,'6długot.'!$C$3:'6długot.'!$C$28,1)+COUNTIF('6długot.'!$C$3:'6długot.'!C21,'6długot.'!C21)-1</f>
        <v>6</v>
      </c>
      <c r="C22" s="5" t="str">
        <f>INDEX('6długot.'!B3:G28,MATCH(19,B4:B29,0),1)</f>
        <v>strzyżowski</v>
      </c>
      <c r="D22" s="6">
        <f>INDEX('6długot.'!B3:G28,MATCH(19,B4:B29,0),2)</f>
        <v>1918</v>
      </c>
      <c r="E22" s="61">
        <f>INDEX('6długot.'!B3:G28,MATCH(19,B4:B29,0),3)</f>
        <v>1918</v>
      </c>
      <c r="F22" s="6">
        <f>INDEX('6długot.'!B3:G28,MATCH(19,B4:B29,0),4)</f>
        <v>0</v>
      </c>
      <c r="G22" s="61">
        <f>INDEX('6długot.'!B3:G28,MATCH(19,B4:B29,0),5)</f>
        <v>2160</v>
      </c>
      <c r="H22" s="6">
        <f>INDEX('6długot.'!B3:G28,MATCH(19,B4:B29,0),6)</f>
        <v>-242</v>
      </c>
    </row>
    <row r="23" spans="2:8" x14ac:dyDescent="0.2">
      <c r="B23" s="6">
        <f>RANK('6długot.'!C22,'6długot.'!$C$3:'6długot.'!$C$28,1)+COUNTIF('6długot.'!$C$3:'6długot.'!C22,'6długot.'!C22)-1</f>
        <v>19</v>
      </c>
      <c r="C23" s="5" t="str">
        <f>INDEX('6długot.'!B3:G28,MATCH(20,B4:B29,0),1)</f>
        <v>przeworski</v>
      </c>
      <c r="D23" s="6">
        <f>INDEX('6długot.'!B3:G28,MATCH(20,B4:B29,0),2)</f>
        <v>1980</v>
      </c>
      <c r="E23" s="61">
        <f>INDEX('6długot.'!B3:G28,MATCH(20,B4:B29,0),3)</f>
        <v>1959</v>
      </c>
      <c r="F23" s="6">
        <f>INDEX('6długot.'!B3:G28,MATCH(20,B4:B29,0),4)</f>
        <v>21</v>
      </c>
      <c r="G23" s="61">
        <f>INDEX('6długot.'!B3:G28,MATCH(20,B4:B29,0),5)</f>
        <v>2224</v>
      </c>
      <c r="H23" s="6">
        <f>INDEX('6długot.'!B3:G28,MATCH(20,B4:B29,0),6)</f>
        <v>-244</v>
      </c>
    </row>
    <row r="24" spans="2:8" x14ac:dyDescent="0.2">
      <c r="B24" s="6">
        <f>RANK('6długot.'!C23,'6długot.'!$C$3:'6długot.'!$C$28,1)+COUNTIF('6długot.'!$C$3:'6długot.'!C23,'6długot.'!C23)-1</f>
        <v>4</v>
      </c>
      <c r="C24" s="5" t="str">
        <f>INDEX('6długot.'!B3:G28,MATCH(21,B4:B29,0),1)</f>
        <v>brzozowski</v>
      </c>
      <c r="D24" s="6">
        <f>INDEX('6długot.'!B3:G28,MATCH(21,B4:B29,0),2)</f>
        <v>2377</v>
      </c>
      <c r="E24" s="61">
        <f>INDEX('6długot.'!B3:G28,MATCH(21,B4:B29,0),3)</f>
        <v>2379</v>
      </c>
      <c r="F24" s="6">
        <f>INDEX('6długot.'!B3:G28,MATCH(21,B4:B29,0),4)</f>
        <v>-2</v>
      </c>
      <c r="G24" s="61">
        <f>INDEX('6długot.'!B3:G28,MATCH(21,B4:B29,0),5)</f>
        <v>2630</v>
      </c>
      <c r="H24" s="6">
        <f>INDEX('6długot.'!B3:G28,MATCH(21,B4:B29,0),6)</f>
        <v>-253</v>
      </c>
    </row>
    <row r="25" spans="2:8" x14ac:dyDescent="0.2">
      <c r="B25" s="6">
        <f>RANK('6długot.'!C24,'6długot.'!$C$3:'6długot.'!$C$28,1)+COUNTIF('6długot.'!$C$3:'6długot.'!C24,'6długot.'!C24)-1</f>
        <v>1</v>
      </c>
      <c r="C25" s="5" t="str">
        <f>INDEX('6długot.'!B3:G28,MATCH(22,B4:B29,0),1)</f>
        <v>jarosławski</v>
      </c>
      <c r="D25" s="6">
        <f>INDEX('6długot.'!B3:G28,MATCH(22,B4:B29,0),2)</f>
        <v>2508</v>
      </c>
      <c r="E25" s="61">
        <f>INDEX('6długot.'!B3:G28,MATCH(22,B4:B29,0),3)</f>
        <v>2531</v>
      </c>
      <c r="F25" s="6">
        <f>INDEX('6długot.'!B3:G28,MATCH(22,B4:B29,0),4)</f>
        <v>-23</v>
      </c>
      <c r="G25" s="61">
        <f>INDEX('6długot.'!B3:G28,MATCH(22,B4:B29,0),5)</f>
        <v>2926</v>
      </c>
      <c r="H25" s="6">
        <f>INDEX('6długot.'!B3:G28,MATCH(22,B4:B29,0),6)</f>
        <v>-418</v>
      </c>
    </row>
    <row r="26" spans="2:8" x14ac:dyDescent="0.2">
      <c r="B26" s="6">
        <f>RANK('6długot.'!C25,'6długot.'!$C$3:'6długot.'!$C$28,1)+COUNTIF('6długot.'!$C$3:'6długot.'!C25,'6długot.'!C25)-1</f>
        <v>15</v>
      </c>
      <c r="C26" s="5" t="str">
        <f>INDEX('6długot.'!B3:G28,MATCH(23,B4:B29,0),1)</f>
        <v>rzeszowski</v>
      </c>
      <c r="D26" s="6">
        <f>INDEX('6długot.'!B3:G28,MATCH(23,B4:B29,0),2)</f>
        <v>2684</v>
      </c>
      <c r="E26" s="61">
        <f>INDEX('6długot.'!B3:G28,MATCH(23,B4:B29,0),3)</f>
        <v>2722</v>
      </c>
      <c r="F26" s="6">
        <f>INDEX('6długot.'!B3:G28,MATCH(23,B4:B29,0),4)</f>
        <v>-38</v>
      </c>
      <c r="G26" s="61">
        <f>INDEX('6długot.'!B3:G28,MATCH(23,B4:B29,0),5)</f>
        <v>3121</v>
      </c>
      <c r="H26" s="6">
        <f>INDEX('6długot.'!B3:G28,MATCH(23,B4:B29,0),6)</f>
        <v>-437</v>
      </c>
    </row>
    <row r="27" spans="2:8" x14ac:dyDescent="0.2">
      <c r="B27" s="6">
        <f>RANK('6długot.'!C26,'6długot.'!$C$3:'6długot.'!$C$28,1)+COUNTIF('6długot.'!$C$3:'6długot.'!C26,'6długot.'!C26)-1</f>
        <v>25</v>
      </c>
      <c r="C27" s="5" t="str">
        <f>INDEX('6długot.'!B3:G28,MATCH(24,B4:B29,0),1)</f>
        <v>jasielski</v>
      </c>
      <c r="D27" s="6">
        <f>INDEX('6długot.'!B3:G28,MATCH(24,B4:B29,0),2)</f>
        <v>2939</v>
      </c>
      <c r="E27" s="61">
        <f>INDEX('6długot.'!B3:G28,MATCH(24,B4:B29,0),3)</f>
        <v>2906</v>
      </c>
      <c r="F27" s="6">
        <f>INDEX('6długot.'!B3:G28,MATCH(24,B4:B29,0),4)</f>
        <v>33</v>
      </c>
      <c r="G27" s="61">
        <f>INDEX('6długot.'!B3:G28,MATCH(24,B4:B29,0),5)</f>
        <v>3167</v>
      </c>
      <c r="H27" s="6">
        <f>INDEX('6długot.'!B3:G28,MATCH(24,B4:B29,0),6)</f>
        <v>-228</v>
      </c>
    </row>
    <row r="28" spans="2:8" x14ac:dyDescent="0.2">
      <c r="B28" s="6">
        <f>RANK('6długot.'!C27,'6długot.'!$C$3:'6długot.'!$C$28,1)+COUNTIF('6długot.'!$C$3:'6długot.'!C27,'6długot.'!C27)-1</f>
        <v>2</v>
      </c>
      <c r="C28" s="5" t="str">
        <f>INDEX('6długot.'!B3:G28,MATCH(25,B4:B29,0),1)</f>
        <v>Rzeszów</v>
      </c>
      <c r="D28" s="6">
        <f>INDEX('6długot.'!B3:G28,MATCH(25,B4:B29,0),2)</f>
        <v>3219</v>
      </c>
      <c r="E28" s="61">
        <f>INDEX('6długot.'!B3:G28,MATCH(25,B4:B29,0),3)</f>
        <v>3239</v>
      </c>
      <c r="F28" s="6">
        <f>INDEX('6długot.'!B3:G28,MATCH(25,B4:B29,0),4)</f>
        <v>-20</v>
      </c>
      <c r="G28" s="61">
        <f>INDEX('6długot.'!B3:G28,MATCH(25,B4:B29,0),5)</f>
        <v>3728</v>
      </c>
      <c r="H28" s="6">
        <f>INDEX('6długot.'!B3:G28,MATCH(25,B4:B29,0),6)</f>
        <v>-509</v>
      </c>
    </row>
    <row r="29" spans="2:8" ht="15" x14ac:dyDescent="0.25">
      <c r="B29" s="59">
        <f>RANK('6długot.'!C28,'6długot.'!$C$3:'6długot.'!$C$28,1)+COUNTIF('6długot.'!$C$3:'6długot.'!C28,'6długot.'!C28)-1</f>
        <v>26</v>
      </c>
      <c r="C29" s="58" t="str">
        <f>INDEX('6długot.'!B3:G28,MATCH(26,B4:B29,0),1)</f>
        <v>województwo</v>
      </c>
      <c r="D29" s="59">
        <f>INDEX('6długot.'!B3:G28,MATCH(26,B4:B29,0),2)</f>
        <v>36969</v>
      </c>
      <c r="E29" s="63">
        <f>INDEX('6długot.'!B3:G28,MATCH(26,B4:B29,0),3)</f>
        <v>37173</v>
      </c>
      <c r="F29" s="59">
        <f>INDEX('6długot.'!B3:G28,MATCH(26,B4:B29,0),4)</f>
        <v>-204</v>
      </c>
      <c r="G29" s="63">
        <f>INDEX('6długot.'!B3:G28,MATCH(26,B4:B29,0),5)</f>
        <v>41532</v>
      </c>
      <c r="H29" s="59">
        <f>INDEX('6długot.'!B3:G28,MATCH(26,B4:B29,0),6)</f>
        <v>-4563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5.42578125" style="3" customWidth="1"/>
    <col min="4" max="4" width="15.28515625" style="3" customWidth="1"/>
    <col min="5" max="5" width="16.28515625" style="3" customWidth="1"/>
    <col min="6" max="6" width="15" style="3" customWidth="1"/>
    <col min="7" max="7" width="17.85546875" style="3" customWidth="1"/>
    <col min="8" max="16384" width="9.140625" style="3"/>
  </cols>
  <sheetData>
    <row r="1" spans="2:8" ht="20.25" customHeight="1" x14ac:dyDescent="0.2">
      <c r="B1" s="1" t="s">
        <v>96</v>
      </c>
      <c r="C1" s="44"/>
      <c r="D1" s="44"/>
      <c r="E1" s="44"/>
      <c r="F1" s="44"/>
      <c r="G1" s="44"/>
    </row>
    <row r="2" spans="2:8" ht="57" x14ac:dyDescent="0.2">
      <c r="B2" s="55" t="s">
        <v>27</v>
      </c>
      <c r="C2" s="56" t="s">
        <v>141</v>
      </c>
      <c r="D2" s="57" t="s">
        <v>123</v>
      </c>
      <c r="E2" s="56" t="s">
        <v>28</v>
      </c>
      <c r="F2" s="57" t="s">
        <v>140</v>
      </c>
      <c r="G2" s="56" t="s">
        <v>26</v>
      </c>
    </row>
    <row r="3" spans="2:8" x14ac:dyDescent="0.2">
      <c r="B3" s="5" t="s">
        <v>0</v>
      </c>
      <c r="C3" s="45">
        <v>240</v>
      </c>
      <c r="D3" s="61">
        <v>242</v>
      </c>
      <c r="E3" s="45">
        <f t="shared" ref="E3:E27" si="0">SUM(C3)-D3</f>
        <v>-2</v>
      </c>
      <c r="F3" s="61">
        <v>274</v>
      </c>
      <c r="G3" s="45">
        <f t="shared" ref="G3:G27" si="1">SUM(C3)-F3</f>
        <v>-34</v>
      </c>
      <c r="H3" s="7"/>
    </row>
    <row r="4" spans="2:8" x14ac:dyDescent="0.2">
      <c r="B4" s="5" t="s">
        <v>1</v>
      </c>
      <c r="C4" s="45">
        <v>909</v>
      </c>
      <c r="D4" s="61">
        <v>888</v>
      </c>
      <c r="E4" s="45">
        <f t="shared" si="0"/>
        <v>21</v>
      </c>
      <c r="F4" s="61">
        <v>962</v>
      </c>
      <c r="G4" s="45">
        <f t="shared" si="1"/>
        <v>-53</v>
      </c>
      <c r="H4" s="7"/>
    </row>
    <row r="5" spans="2:8" x14ac:dyDescent="0.2">
      <c r="B5" s="5" t="s">
        <v>2</v>
      </c>
      <c r="C5" s="45">
        <v>659</v>
      </c>
      <c r="D5" s="61">
        <v>662</v>
      </c>
      <c r="E5" s="45">
        <f t="shared" si="0"/>
        <v>-3</v>
      </c>
      <c r="F5" s="61">
        <v>652</v>
      </c>
      <c r="G5" s="45">
        <f t="shared" si="1"/>
        <v>7</v>
      </c>
      <c r="H5" s="7"/>
    </row>
    <row r="6" spans="2:8" x14ac:dyDescent="0.2">
      <c r="B6" s="5" t="s">
        <v>3</v>
      </c>
      <c r="C6" s="45">
        <v>1062</v>
      </c>
      <c r="D6" s="61">
        <v>1061</v>
      </c>
      <c r="E6" s="45">
        <f t="shared" si="0"/>
        <v>1</v>
      </c>
      <c r="F6" s="61">
        <v>1173</v>
      </c>
      <c r="G6" s="45">
        <f t="shared" si="1"/>
        <v>-111</v>
      </c>
      <c r="H6" s="7"/>
    </row>
    <row r="7" spans="2:8" x14ac:dyDescent="0.2">
      <c r="B7" s="5" t="s">
        <v>4</v>
      </c>
      <c r="C7" s="45">
        <v>1140</v>
      </c>
      <c r="D7" s="61">
        <v>1156</v>
      </c>
      <c r="E7" s="45">
        <f t="shared" si="0"/>
        <v>-16</v>
      </c>
      <c r="F7" s="61">
        <v>1064</v>
      </c>
      <c r="G7" s="45">
        <f t="shared" si="1"/>
        <v>76</v>
      </c>
      <c r="H7" s="7"/>
    </row>
    <row r="8" spans="2:8" x14ac:dyDescent="0.2">
      <c r="B8" s="5" t="s">
        <v>5</v>
      </c>
      <c r="C8" s="45">
        <v>440</v>
      </c>
      <c r="D8" s="61">
        <v>441</v>
      </c>
      <c r="E8" s="45">
        <f t="shared" si="0"/>
        <v>-1</v>
      </c>
      <c r="F8" s="61">
        <v>424</v>
      </c>
      <c r="G8" s="45">
        <f t="shared" si="1"/>
        <v>16</v>
      </c>
      <c r="H8" s="7"/>
    </row>
    <row r="9" spans="2:8" x14ac:dyDescent="0.2">
      <c r="B9" s="9" t="s">
        <v>6</v>
      </c>
      <c r="C9" s="45">
        <v>534</v>
      </c>
      <c r="D9" s="61">
        <v>511</v>
      </c>
      <c r="E9" s="45">
        <f t="shared" si="0"/>
        <v>23</v>
      </c>
      <c r="F9" s="61">
        <v>404</v>
      </c>
      <c r="G9" s="45">
        <f t="shared" si="1"/>
        <v>130</v>
      </c>
      <c r="H9" s="7"/>
    </row>
    <row r="10" spans="2:8" x14ac:dyDescent="0.2">
      <c r="B10" s="5" t="s">
        <v>7</v>
      </c>
      <c r="C10" s="45">
        <v>378</v>
      </c>
      <c r="D10" s="61">
        <v>405</v>
      </c>
      <c r="E10" s="45">
        <f t="shared" si="0"/>
        <v>-27</v>
      </c>
      <c r="F10" s="61">
        <v>401</v>
      </c>
      <c r="G10" s="45">
        <f t="shared" si="1"/>
        <v>-23</v>
      </c>
      <c r="H10" s="7"/>
    </row>
    <row r="11" spans="2:8" x14ac:dyDescent="0.2">
      <c r="B11" s="5" t="s">
        <v>8</v>
      </c>
      <c r="C11" s="45">
        <v>816</v>
      </c>
      <c r="D11" s="61">
        <v>800</v>
      </c>
      <c r="E11" s="45">
        <f t="shared" si="0"/>
        <v>16</v>
      </c>
      <c r="F11" s="61">
        <v>848</v>
      </c>
      <c r="G11" s="45">
        <f t="shared" si="1"/>
        <v>-32</v>
      </c>
      <c r="H11" s="7"/>
    </row>
    <row r="12" spans="2:8" x14ac:dyDescent="0.2">
      <c r="B12" s="5" t="s">
        <v>9</v>
      </c>
      <c r="C12" s="45">
        <v>439</v>
      </c>
      <c r="D12" s="61">
        <v>415</v>
      </c>
      <c r="E12" s="45">
        <f t="shared" si="0"/>
        <v>24</v>
      </c>
      <c r="F12" s="61">
        <v>400</v>
      </c>
      <c r="G12" s="45">
        <f t="shared" si="1"/>
        <v>39</v>
      </c>
      <c r="H12" s="7"/>
    </row>
    <row r="13" spans="2:8" x14ac:dyDescent="0.2">
      <c r="B13" s="5" t="s">
        <v>10</v>
      </c>
      <c r="C13" s="45">
        <v>699</v>
      </c>
      <c r="D13" s="61">
        <v>684</v>
      </c>
      <c r="E13" s="45">
        <f t="shared" si="0"/>
        <v>15</v>
      </c>
      <c r="F13" s="61">
        <v>779</v>
      </c>
      <c r="G13" s="45">
        <f t="shared" si="1"/>
        <v>-80</v>
      </c>
      <c r="H13" s="7"/>
    </row>
    <row r="14" spans="2:8" x14ac:dyDescent="0.2">
      <c r="B14" s="5" t="s">
        <v>11</v>
      </c>
      <c r="C14" s="45">
        <v>735</v>
      </c>
      <c r="D14" s="61">
        <v>735</v>
      </c>
      <c r="E14" s="45">
        <f t="shared" si="0"/>
        <v>0</v>
      </c>
      <c r="F14" s="61">
        <v>632</v>
      </c>
      <c r="G14" s="45">
        <f t="shared" si="1"/>
        <v>103</v>
      </c>
      <c r="H14" s="7"/>
    </row>
    <row r="15" spans="2:8" x14ac:dyDescent="0.2">
      <c r="B15" s="5" t="s">
        <v>12</v>
      </c>
      <c r="C15" s="45">
        <v>784</v>
      </c>
      <c r="D15" s="61">
        <v>784</v>
      </c>
      <c r="E15" s="45">
        <f t="shared" si="0"/>
        <v>0</v>
      </c>
      <c r="F15" s="61">
        <v>812</v>
      </c>
      <c r="G15" s="45">
        <f t="shared" si="1"/>
        <v>-28</v>
      </c>
      <c r="H15" s="7"/>
    </row>
    <row r="16" spans="2:8" x14ac:dyDescent="0.2">
      <c r="B16" s="5" t="s">
        <v>13</v>
      </c>
      <c r="C16" s="45">
        <v>701</v>
      </c>
      <c r="D16" s="61">
        <v>706</v>
      </c>
      <c r="E16" s="45">
        <f t="shared" si="0"/>
        <v>-5</v>
      </c>
      <c r="F16" s="61">
        <v>745</v>
      </c>
      <c r="G16" s="45">
        <f t="shared" si="1"/>
        <v>-44</v>
      </c>
      <c r="H16" s="7"/>
    </row>
    <row r="17" spans="2:8" x14ac:dyDescent="0.2">
      <c r="B17" s="5" t="s">
        <v>14</v>
      </c>
      <c r="C17" s="45">
        <v>903</v>
      </c>
      <c r="D17" s="61">
        <v>852</v>
      </c>
      <c r="E17" s="45">
        <f t="shared" si="0"/>
        <v>51</v>
      </c>
      <c r="F17" s="61">
        <v>975</v>
      </c>
      <c r="G17" s="45">
        <f t="shared" si="1"/>
        <v>-72</v>
      </c>
      <c r="H17" s="7"/>
    </row>
    <row r="18" spans="2:8" x14ac:dyDescent="0.2">
      <c r="B18" s="5" t="s">
        <v>15</v>
      </c>
      <c r="C18" s="45">
        <v>761</v>
      </c>
      <c r="D18" s="61">
        <v>746</v>
      </c>
      <c r="E18" s="45">
        <f t="shared" si="0"/>
        <v>15</v>
      </c>
      <c r="F18" s="61">
        <v>830</v>
      </c>
      <c r="G18" s="45">
        <f t="shared" si="1"/>
        <v>-69</v>
      </c>
      <c r="H18" s="7"/>
    </row>
    <row r="19" spans="2:8" x14ac:dyDescent="0.2">
      <c r="B19" s="5" t="s">
        <v>16</v>
      </c>
      <c r="C19" s="45">
        <v>1189</v>
      </c>
      <c r="D19" s="61">
        <v>1153</v>
      </c>
      <c r="E19" s="45">
        <f t="shared" si="0"/>
        <v>36</v>
      </c>
      <c r="F19" s="61">
        <v>1308</v>
      </c>
      <c r="G19" s="45">
        <f t="shared" si="1"/>
        <v>-119</v>
      </c>
      <c r="H19" s="7"/>
    </row>
    <row r="20" spans="2:8" x14ac:dyDescent="0.2">
      <c r="B20" s="5" t="s">
        <v>17</v>
      </c>
      <c r="C20" s="45">
        <v>679</v>
      </c>
      <c r="D20" s="61">
        <v>676</v>
      </c>
      <c r="E20" s="45">
        <f t="shared" si="0"/>
        <v>3</v>
      </c>
      <c r="F20" s="61">
        <v>618</v>
      </c>
      <c r="G20" s="45">
        <f t="shared" si="1"/>
        <v>61</v>
      </c>
      <c r="H20" s="7"/>
    </row>
    <row r="21" spans="2:8" x14ac:dyDescent="0.2">
      <c r="B21" s="5" t="s">
        <v>18</v>
      </c>
      <c r="C21" s="45">
        <v>473</v>
      </c>
      <c r="D21" s="61">
        <v>485</v>
      </c>
      <c r="E21" s="45">
        <f t="shared" si="0"/>
        <v>-12</v>
      </c>
      <c r="F21" s="61">
        <v>484</v>
      </c>
      <c r="G21" s="45">
        <f t="shared" si="1"/>
        <v>-11</v>
      </c>
      <c r="H21" s="7"/>
    </row>
    <row r="22" spans="2:8" x14ac:dyDescent="0.2">
      <c r="B22" s="5" t="s">
        <v>19</v>
      </c>
      <c r="C22" s="45">
        <v>765</v>
      </c>
      <c r="D22" s="61">
        <v>795</v>
      </c>
      <c r="E22" s="45">
        <f t="shared" si="0"/>
        <v>-30</v>
      </c>
      <c r="F22" s="61">
        <v>890</v>
      </c>
      <c r="G22" s="45">
        <f t="shared" si="1"/>
        <v>-125</v>
      </c>
      <c r="H22" s="7"/>
    </row>
    <row r="23" spans="2:8" x14ac:dyDescent="0.2">
      <c r="B23" s="5" t="s">
        <v>20</v>
      </c>
      <c r="C23" s="45">
        <v>297</v>
      </c>
      <c r="D23" s="61">
        <v>301</v>
      </c>
      <c r="E23" s="45">
        <f t="shared" si="0"/>
        <v>-4</v>
      </c>
      <c r="F23" s="61">
        <v>328</v>
      </c>
      <c r="G23" s="45">
        <f t="shared" si="1"/>
        <v>-31</v>
      </c>
      <c r="H23" s="7"/>
    </row>
    <row r="24" spans="2:8" x14ac:dyDescent="0.2">
      <c r="B24" s="5" t="s">
        <v>21</v>
      </c>
      <c r="C24" s="45">
        <v>119</v>
      </c>
      <c r="D24" s="61">
        <v>123</v>
      </c>
      <c r="E24" s="45">
        <f t="shared" si="0"/>
        <v>-4</v>
      </c>
      <c r="F24" s="61">
        <v>117</v>
      </c>
      <c r="G24" s="45">
        <f t="shared" si="1"/>
        <v>2</v>
      </c>
      <c r="H24" s="7"/>
    </row>
    <row r="25" spans="2:8" x14ac:dyDescent="0.2">
      <c r="B25" s="5" t="s">
        <v>22</v>
      </c>
      <c r="C25" s="45">
        <v>419</v>
      </c>
      <c r="D25" s="61">
        <v>425</v>
      </c>
      <c r="E25" s="45">
        <f t="shared" si="0"/>
        <v>-6</v>
      </c>
      <c r="F25" s="61">
        <v>372</v>
      </c>
      <c r="G25" s="45">
        <f t="shared" si="1"/>
        <v>47</v>
      </c>
      <c r="H25" s="7"/>
    </row>
    <row r="26" spans="2:8" x14ac:dyDescent="0.2">
      <c r="B26" s="5" t="s">
        <v>23</v>
      </c>
      <c r="C26" s="45">
        <v>969</v>
      </c>
      <c r="D26" s="61">
        <v>970</v>
      </c>
      <c r="E26" s="45">
        <f t="shared" si="0"/>
        <v>-1</v>
      </c>
      <c r="F26" s="61">
        <v>1014</v>
      </c>
      <c r="G26" s="45">
        <f t="shared" si="1"/>
        <v>-45</v>
      </c>
      <c r="H26" s="7"/>
    </row>
    <row r="27" spans="2:8" x14ac:dyDescent="0.2">
      <c r="B27" s="5" t="s">
        <v>24</v>
      </c>
      <c r="C27" s="45">
        <v>218</v>
      </c>
      <c r="D27" s="61">
        <v>195</v>
      </c>
      <c r="E27" s="45">
        <f t="shared" si="0"/>
        <v>23</v>
      </c>
      <c r="F27" s="61">
        <v>197</v>
      </c>
      <c r="G27" s="45">
        <f t="shared" si="1"/>
        <v>21</v>
      </c>
      <c r="H27" s="7"/>
    </row>
    <row r="28" spans="2:8" ht="15" x14ac:dyDescent="0.25">
      <c r="B28" s="58" t="s">
        <v>25</v>
      </c>
      <c r="C28" s="78">
        <f>SUM(C3:C27)</f>
        <v>16328</v>
      </c>
      <c r="D28" s="63">
        <f>SUM(D3:D27)</f>
        <v>16211</v>
      </c>
      <c r="E28" s="78">
        <f>SUM(E3:E27)</f>
        <v>117</v>
      </c>
      <c r="F28" s="63">
        <f>SUM(F3:F27)</f>
        <v>16703</v>
      </c>
      <c r="G28" s="78">
        <f>SUM(G3:G27)</f>
        <v>-375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83</v>
      </c>
    </row>
    <row r="2" spans="2:8" ht="15" x14ac:dyDescent="0.2">
      <c r="C2" s="20"/>
      <c r="D2" s="21"/>
    </row>
    <row r="3" spans="2:8" ht="71.25" x14ac:dyDescent="0.2">
      <c r="B3" s="62" t="s">
        <v>88</v>
      </c>
      <c r="C3" s="55" t="str">
        <f>T('7do 30 r.ż.'!B2)</f>
        <v>powiaty</v>
      </c>
      <c r="D3" s="55" t="str">
        <f>T('7do 30 r.ż.'!C2)</f>
        <v>liczba bezrobotnych do 30 r. ż. stan na 31 VII '23 r.</v>
      </c>
      <c r="E3" s="55" t="str">
        <f>T('7do 30 r.ż.'!D2)</f>
        <v>liczba bezrobotnych do 30 r. ż. stan na 30 VI '23 r.</v>
      </c>
      <c r="F3" s="55" t="str">
        <f>T('7do 30 r.ż.'!E2)</f>
        <v>wzrost/spadek do poprzedniego  miesiąca</v>
      </c>
      <c r="G3" s="55" t="str">
        <f>T('7do 30 r.ż.'!F2)</f>
        <v>liczba bezrobotnych do 30 r. ż. stan na 31 VII '22 r.</v>
      </c>
      <c r="H3" s="55" t="str">
        <f>T('7do 30 r.ż.'!G2)</f>
        <v>wzrost/spadek do analogicznego okresu ubr.</v>
      </c>
    </row>
    <row r="4" spans="2:8" x14ac:dyDescent="0.2">
      <c r="B4" s="6">
        <f>RANK('7do 30 r.ż.'!C3,'7do 30 r.ż.'!$C$3:'7do 30 r.ż.'!$C$28,1)+COUNTIF('7do 30 r.ż.'!$C$3:'7do 30 r.ż.'!C3,'7do 30 r.ż.'!C3)-1</f>
        <v>3</v>
      </c>
      <c r="C4" s="5" t="str">
        <f>INDEX('7do 30 r.ż.'!B3:G28,MATCH(1,B4:B29,0),1)</f>
        <v>Krosno</v>
      </c>
      <c r="D4" s="25">
        <f>INDEX('7do 30 r.ż.'!B3:G28,MATCH(1,B4:B29,0),2)</f>
        <v>119</v>
      </c>
      <c r="E4" s="61">
        <f>INDEX('7do 30 r.ż.'!B3:G28,MATCH(1,B4:B29,0),3)</f>
        <v>123</v>
      </c>
      <c r="F4" s="6">
        <f>INDEX('7do 30 r.ż.'!B3:G28,MATCH(1,B4:B29,0),4)</f>
        <v>-4</v>
      </c>
      <c r="G4" s="61">
        <f>INDEX('7do 30 r.ż.'!B3:G28,MATCH(1,B4:B29,0),5)</f>
        <v>117</v>
      </c>
      <c r="H4" s="6">
        <f>INDEX('7do 30 r.ż.'!B3:G28,MATCH(1,B4:B29,0),6)</f>
        <v>2</v>
      </c>
    </row>
    <row r="5" spans="2:8" x14ac:dyDescent="0.2">
      <c r="B5" s="6">
        <f>RANK('7do 30 r.ż.'!C4,'7do 30 r.ż.'!$C$3:'7do 30 r.ż.'!$C$28,1)+COUNTIF('7do 30 r.ż.'!$C$3:'7do 30 r.ż.'!C4,'7do 30 r.ż.'!C4)-1</f>
        <v>21</v>
      </c>
      <c r="C5" s="5" t="str">
        <f>INDEX('7do 30 r.ż.'!B3:G28,MATCH(2,B4:B29,0),1)</f>
        <v>Tarnobrzeg</v>
      </c>
      <c r="D5" s="6">
        <f>INDEX('7do 30 r.ż.'!B3:G28,MATCH(2,B4:B29,0),2)</f>
        <v>218</v>
      </c>
      <c r="E5" s="61">
        <f>INDEX('7do 30 r.ż.'!B3:G28,MATCH(2,B4:B29,0),3)</f>
        <v>195</v>
      </c>
      <c r="F5" s="6">
        <f>INDEX('7do 30 r.ż.'!B3:G28,MATCH(2,B4:B29,0),4)</f>
        <v>23</v>
      </c>
      <c r="G5" s="61">
        <f>INDEX('7do 30 r.ż.'!B3:G28,MATCH(2,B4:B29,0),5)</f>
        <v>197</v>
      </c>
      <c r="H5" s="6">
        <f>INDEX('7do 30 r.ż.'!B3:G28,MATCH(2,B4:B29,0),6)</f>
        <v>21</v>
      </c>
    </row>
    <row r="6" spans="2:8" x14ac:dyDescent="0.2">
      <c r="B6" s="6">
        <f>RANK('7do 30 r.ż.'!C5,'7do 30 r.ż.'!$C$3:'7do 30 r.ż.'!$C$28,1)+COUNTIF('7do 30 r.ż.'!$C$3:'7do 30 r.ż.'!C5,'7do 30 r.ż.'!C5)-1</f>
        <v>11</v>
      </c>
      <c r="C6" s="5" t="str">
        <f>INDEX('7do 30 r.ż.'!B3:G28,MATCH(3,B4:B29,0),1)</f>
        <v>bieszczadzki</v>
      </c>
      <c r="D6" s="6">
        <f>INDEX('7do 30 r.ż.'!B3:G28,MATCH(3,B4:B29,0),2)</f>
        <v>240</v>
      </c>
      <c r="E6" s="61">
        <f>INDEX('7do 30 r.ż.'!B3:G28,MATCH(3,B4:B29,0),3)</f>
        <v>242</v>
      </c>
      <c r="F6" s="6">
        <f>INDEX('7do 30 r.ż.'!B3:G28,MATCH(3,B4:B29,0),4)</f>
        <v>-2</v>
      </c>
      <c r="G6" s="61">
        <f>INDEX('7do 30 r.ż.'!B3:G28,MATCH(3,B4:B29,0),5)</f>
        <v>274</v>
      </c>
      <c r="H6" s="6">
        <f>INDEX('7do 30 r.ż.'!B3:G28,MATCH(3,B4:B29,0),6)</f>
        <v>-34</v>
      </c>
    </row>
    <row r="7" spans="2:8" x14ac:dyDescent="0.2">
      <c r="B7" s="6">
        <f>RANK('7do 30 r.ż.'!C6,'7do 30 r.ż.'!$C$3:'7do 30 r.ż.'!$C$28,1)+COUNTIF('7do 30 r.ż.'!$C$3:'7do 30 r.ż.'!C6,'7do 30 r.ż.'!C6)-1</f>
        <v>23</v>
      </c>
      <c r="C7" s="5" t="str">
        <f>INDEX('7do 30 r.ż.'!B3:G28,MATCH(4,B4:B29,0),1)</f>
        <v xml:space="preserve">tarnobrzeski </v>
      </c>
      <c r="D7" s="6">
        <f>INDEX('7do 30 r.ż.'!B3:G28,MATCH(4,B4:B29,0),2)</f>
        <v>297</v>
      </c>
      <c r="E7" s="61">
        <f>INDEX('7do 30 r.ż.'!B3:G28,MATCH(4,B4:B29,0),3)</f>
        <v>301</v>
      </c>
      <c r="F7" s="6">
        <f>INDEX('7do 30 r.ż.'!B3:G28,MATCH(4,B4:B29,0),4)</f>
        <v>-4</v>
      </c>
      <c r="G7" s="61">
        <f>INDEX('7do 30 r.ż.'!B3:G28,MATCH(4,B4:B29,0),5)</f>
        <v>328</v>
      </c>
      <c r="H7" s="6">
        <f>INDEX('7do 30 r.ż.'!B3:G28,MATCH(4,B4:B29,0),6)</f>
        <v>-31</v>
      </c>
    </row>
    <row r="8" spans="2:8" x14ac:dyDescent="0.2">
      <c r="B8" s="6">
        <f>RANK('7do 30 r.ż.'!C7,'7do 30 r.ż.'!$C$3:'7do 30 r.ż.'!$C$28,1)+COUNTIF('7do 30 r.ż.'!$C$3:'7do 30 r.ż.'!C7,'7do 30 r.ż.'!C7)-1</f>
        <v>24</v>
      </c>
      <c r="C8" s="5" t="str">
        <f>INDEX('7do 30 r.ż.'!B3:G28,MATCH(5,B4:B29,0),1)</f>
        <v>leski</v>
      </c>
      <c r="D8" s="6">
        <f>INDEX('7do 30 r.ż.'!B3:G28,MATCH(5,B4:B29,0),2)</f>
        <v>378</v>
      </c>
      <c r="E8" s="61">
        <f>INDEX('7do 30 r.ż.'!B3:G28,MATCH(5,B4:B29,0),3)</f>
        <v>405</v>
      </c>
      <c r="F8" s="6">
        <f>INDEX('7do 30 r.ż.'!B3:G28,MATCH(5,B4:B29,0),4)</f>
        <v>-27</v>
      </c>
      <c r="G8" s="61">
        <f>INDEX('7do 30 r.ż.'!B3:G28,MATCH(5,B4:B29,0),5)</f>
        <v>401</v>
      </c>
      <c r="H8" s="6">
        <f>INDEX('7do 30 r.ż.'!B3:G28,MATCH(5,B4:B29,0),6)</f>
        <v>-23</v>
      </c>
    </row>
    <row r="9" spans="2:8" x14ac:dyDescent="0.2">
      <c r="B9" s="6">
        <f>RANK('7do 30 r.ż.'!C8,'7do 30 r.ż.'!$C$3:'7do 30 r.ż.'!$C$28,1)+COUNTIF('7do 30 r.ż.'!$C$3:'7do 30 r.ż.'!C8,'7do 30 r.ż.'!C8)-1</f>
        <v>8</v>
      </c>
      <c r="C9" s="5" t="str">
        <f>INDEX('7do 30 r.ż.'!B3:G28,MATCH(6,B4:B29,0),1)</f>
        <v>Przemyśl</v>
      </c>
      <c r="D9" s="6">
        <f>INDEX('7do 30 r.ż.'!B3:G28,MATCH(6,B4:B29,0),2)</f>
        <v>419</v>
      </c>
      <c r="E9" s="61">
        <f>INDEX('7do 30 r.ż.'!B3:G28,MATCH(6,B4:B29,0),3)</f>
        <v>425</v>
      </c>
      <c r="F9" s="6">
        <f>INDEX('7do 30 r.ż.'!B3:G28,MATCH(6,B4:B29,0),4)</f>
        <v>-6</v>
      </c>
      <c r="G9" s="61">
        <f>INDEX('7do 30 r.ż.'!B3:G28,MATCH(6,B4:B29,0),5)</f>
        <v>372</v>
      </c>
      <c r="H9" s="6">
        <f>INDEX('7do 30 r.ż.'!B3:G28,MATCH(6,B4:B29,0),6)</f>
        <v>47</v>
      </c>
    </row>
    <row r="10" spans="2:8" x14ac:dyDescent="0.2">
      <c r="B10" s="6">
        <f>RANK('7do 30 r.ż.'!C9,'7do 30 r.ż.'!$C$3:'7do 30 r.ż.'!$C$28,1)+COUNTIF('7do 30 r.ż.'!$C$3:'7do 30 r.ż.'!C9,'7do 30 r.ż.'!C9)-1</f>
        <v>10</v>
      </c>
      <c r="C10" s="9" t="str">
        <f>INDEX('7do 30 r.ż.'!B3:G28,MATCH(7,B4:B29,0),1)</f>
        <v>lubaczowski</v>
      </c>
      <c r="D10" s="6">
        <f>INDEX('7do 30 r.ż.'!B3:G28,MATCH(7,B4:B29,0),2)</f>
        <v>439</v>
      </c>
      <c r="E10" s="61">
        <f>INDEX('7do 30 r.ż.'!B3:G28,MATCH(7,B4:B29,0),3)</f>
        <v>415</v>
      </c>
      <c r="F10" s="6">
        <f>INDEX('7do 30 r.ż.'!B3:G28,MATCH(7,B4:B29,0),4)</f>
        <v>24</v>
      </c>
      <c r="G10" s="61">
        <f>INDEX('7do 30 r.ż.'!B3:G28,MATCH(7,B4:B29,0),5)</f>
        <v>400</v>
      </c>
      <c r="H10" s="6">
        <f>INDEX('7do 30 r.ż.'!B3:G28,MATCH(7,B4:B29,0),6)</f>
        <v>39</v>
      </c>
    </row>
    <row r="11" spans="2:8" x14ac:dyDescent="0.2">
      <c r="B11" s="6">
        <f>RANK('7do 30 r.ż.'!C10,'7do 30 r.ż.'!$C$3:'7do 30 r.ż.'!$C$28,1)+COUNTIF('7do 30 r.ż.'!$C$3:'7do 30 r.ż.'!C10,'7do 30 r.ż.'!C10)-1</f>
        <v>5</v>
      </c>
      <c r="C11" s="5" t="str">
        <f>INDEX('7do 30 r.ż.'!B3:G28,MATCH(8,B4:B29,0),1)</f>
        <v>kolbuszowski</v>
      </c>
      <c r="D11" s="6">
        <f>INDEX('7do 30 r.ż.'!B3:G28,MATCH(8,B4:B29,0),2)</f>
        <v>440</v>
      </c>
      <c r="E11" s="61">
        <f>INDEX('7do 30 r.ż.'!B3:G28,MATCH(8,B4:B29,0),3)</f>
        <v>441</v>
      </c>
      <c r="F11" s="6">
        <f>INDEX('7do 30 r.ż.'!B3:G28,MATCH(8,B4:B29,0),4)</f>
        <v>-1</v>
      </c>
      <c r="G11" s="61">
        <f>INDEX('7do 30 r.ż.'!B3:G28,MATCH(8,B4:B29,0),5)</f>
        <v>424</v>
      </c>
      <c r="H11" s="6">
        <f>INDEX('7do 30 r.ż.'!B3:G28,MATCH(8,B4:B29,0),6)</f>
        <v>16</v>
      </c>
    </row>
    <row r="12" spans="2:8" x14ac:dyDescent="0.2">
      <c r="B12" s="6">
        <f>RANK('7do 30 r.ż.'!C11,'7do 30 r.ż.'!$C$3:'7do 30 r.ż.'!$C$28,1)+COUNTIF('7do 30 r.ż.'!$C$3:'7do 30 r.ż.'!C11,'7do 30 r.ż.'!C11)-1</f>
        <v>19</v>
      </c>
      <c r="C12" s="5" t="str">
        <f>INDEX('7do 30 r.ż.'!B3:G28,MATCH(9,B4:B29,0),1)</f>
        <v>stalowowolski</v>
      </c>
      <c r="D12" s="6">
        <f>INDEX('7do 30 r.ż.'!B3:G28,MATCH(9,B4:B29,0),2)</f>
        <v>473</v>
      </c>
      <c r="E12" s="61">
        <f>INDEX('7do 30 r.ż.'!B3:G28,MATCH(9,B4:B29,0),3)</f>
        <v>485</v>
      </c>
      <c r="F12" s="6">
        <f>INDEX('7do 30 r.ż.'!B3:G28,MATCH(9,B4:B29,0),4)</f>
        <v>-12</v>
      </c>
      <c r="G12" s="61">
        <f>INDEX('7do 30 r.ż.'!B3:G28,MATCH(9,B4:B29,0),5)</f>
        <v>484</v>
      </c>
      <c r="H12" s="6">
        <f>INDEX('7do 30 r.ż.'!B3:G28,MATCH(9,B4:B29,0),6)</f>
        <v>-11</v>
      </c>
    </row>
    <row r="13" spans="2:8" x14ac:dyDescent="0.2">
      <c r="B13" s="6">
        <f>RANK('7do 30 r.ż.'!C12,'7do 30 r.ż.'!$C$3:'7do 30 r.ż.'!$C$28,1)+COUNTIF('7do 30 r.ż.'!$C$3:'7do 30 r.ż.'!C12,'7do 30 r.ż.'!C12)-1</f>
        <v>7</v>
      </c>
      <c r="C13" s="5" t="str">
        <f>INDEX('7do 30 r.ż.'!B3:G28,MATCH(10,B4:B29,0),1)</f>
        <v>krośnieński</v>
      </c>
      <c r="D13" s="6">
        <f>INDEX('7do 30 r.ż.'!B3:G28,MATCH(10,B4:B29,0),2)</f>
        <v>534</v>
      </c>
      <c r="E13" s="61">
        <f>INDEX('7do 30 r.ż.'!B3:G28,MATCH(10,B4:B29,0),3)</f>
        <v>511</v>
      </c>
      <c r="F13" s="6">
        <f>INDEX('7do 30 r.ż.'!B3:G28,MATCH(10,B4:B29,0),4)</f>
        <v>23</v>
      </c>
      <c r="G13" s="61">
        <f>INDEX('7do 30 r.ż.'!B3:G28,MATCH(10,B4:B29,0),5)</f>
        <v>404</v>
      </c>
      <c r="H13" s="6">
        <f>INDEX('7do 30 r.ż.'!B3:G28,MATCH(10,B4:B29,0),6)</f>
        <v>130</v>
      </c>
    </row>
    <row r="14" spans="2:8" x14ac:dyDescent="0.2">
      <c r="B14" s="6">
        <f>RANK('7do 30 r.ż.'!C13,'7do 30 r.ż.'!$C$3:'7do 30 r.ż.'!$C$28,1)+COUNTIF('7do 30 r.ż.'!$C$3:'7do 30 r.ż.'!C13,'7do 30 r.ż.'!C13)-1</f>
        <v>13</v>
      </c>
      <c r="C14" s="5" t="str">
        <f>INDEX('7do 30 r.ż.'!B3:G28,MATCH(11,B4:B29,0),1)</f>
        <v>dębicki</v>
      </c>
      <c r="D14" s="6">
        <f>INDEX('7do 30 r.ż.'!B3:G28,MATCH(11,B4:B29,0),2)</f>
        <v>659</v>
      </c>
      <c r="E14" s="61">
        <f>INDEX('7do 30 r.ż.'!B3:G28,MATCH(11,B4:B29,0),3)</f>
        <v>662</v>
      </c>
      <c r="F14" s="6">
        <f>INDEX('7do 30 r.ż.'!B3:G28,MATCH(11,B4:B29,0),4)</f>
        <v>-3</v>
      </c>
      <c r="G14" s="61">
        <f>INDEX('7do 30 r.ż.'!B3:G28,MATCH(11,B4:B29,0),5)</f>
        <v>652</v>
      </c>
      <c r="H14" s="6">
        <f>INDEX('7do 30 r.ż.'!B3:G28,MATCH(11,B4:B29,0),6)</f>
        <v>7</v>
      </c>
    </row>
    <row r="15" spans="2:8" x14ac:dyDescent="0.2">
      <c r="B15" s="6">
        <f>RANK('7do 30 r.ż.'!C14,'7do 30 r.ż.'!$C$3:'7do 30 r.ż.'!$C$28,1)+COUNTIF('7do 30 r.ż.'!$C$3:'7do 30 r.ż.'!C14,'7do 30 r.ż.'!C14)-1</f>
        <v>15</v>
      </c>
      <c r="C15" s="5" t="str">
        <f>INDEX('7do 30 r.ż.'!B3:G28,MATCH(12,B4:B29,0),1)</f>
        <v>sanocki</v>
      </c>
      <c r="D15" s="6">
        <f>INDEX('7do 30 r.ż.'!B3:G28,MATCH(12,B4:B29,0),2)</f>
        <v>679</v>
      </c>
      <c r="E15" s="61">
        <f>INDEX('7do 30 r.ż.'!B3:G28,MATCH(12,B4:B29,0),3)</f>
        <v>676</v>
      </c>
      <c r="F15" s="6">
        <f>INDEX('7do 30 r.ż.'!B3:G28,MATCH(12,B4:B29,0),4)</f>
        <v>3</v>
      </c>
      <c r="G15" s="61">
        <f>INDEX('7do 30 r.ż.'!B3:G28,MATCH(12,B4:B29,0),5)</f>
        <v>618</v>
      </c>
      <c r="H15" s="6">
        <f>INDEX('7do 30 r.ż.'!B3:G28,MATCH(12,B4:B29,0),6)</f>
        <v>61</v>
      </c>
    </row>
    <row r="16" spans="2:8" x14ac:dyDescent="0.2">
      <c r="B16" s="6">
        <f>RANK('7do 30 r.ż.'!C15,'7do 30 r.ż.'!$C$3:'7do 30 r.ż.'!$C$28,1)+COUNTIF('7do 30 r.ż.'!$C$3:'7do 30 r.ż.'!C15,'7do 30 r.ż.'!C15)-1</f>
        <v>18</v>
      </c>
      <c r="C16" s="5" t="str">
        <f>INDEX('7do 30 r.ż.'!B3:G28,MATCH(13,B4:B29,0),1)</f>
        <v>łańcucki</v>
      </c>
      <c r="D16" s="6">
        <f>INDEX('7do 30 r.ż.'!B3:G28,MATCH(13,B4:B29,0),2)</f>
        <v>699</v>
      </c>
      <c r="E16" s="61">
        <f>INDEX('7do 30 r.ż.'!B3:G28,MATCH(13,B4:B29,0),3)</f>
        <v>684</v>
      </c>
      <c r="F16" s="6">
        <f>INDEX('7do 30 r.ż.'!B3:G28,MATCH(13,B4:B29,0),4)</f>
        <v>15</v>
      </c>
      <c r="G16" s="61">
        <f>INDEX('7do 30 r.ż.'!B3:G28,MATCH(13,B4:B29,0),5)</f>
        <v>779</v>
      </c>
      <c r="H16" s="6">
        <f>INDEX('7do 30 r.ż.'!B3:G28,MATCH(13,B4:B29,0),6)</f>
        <v>-80</v>
      </c>
    </row>
    <row r="17" spans="2:8" x14ac:dyDescent="0.2">
      <c r="B17" s="6">
        <f>RANK('7do 30 r.ż.'!C16,'7do 30 r.ż.'!$C$3:'7do 30 r.ż.'!$C$28,1)+COUNTIF('7do 30 r.ż.'!$C$3:'7do 30 r.ż.'!C16,'7do 30 r.ż.'!C16)-1</f>
        <v>14</v>
      </c>
      <c r="C17" s="5" t="str">
        <f>INDEX('7do 30 r.ż.'!B3:G28,MATCH(14,B4:B29,0),1)</f>
        <v>przemyski</v>
      </c>
      <c r="D17" s="6">
        <f>INDEX('7do 30 r.ż.'!B3:G28,MATCH(14,B4:B29,0),2)</f>
        <v>701</v>
      </c>
      <c r="E17" s="61">
        <f>INDEX('7do 30 r.ż.'!B3:G28,MATCH(14,B4:B29,0),3)</f>
        <v>706</v>
      </c>
      <c r="F17" s="6">
        <f>INDEX('7do 30 r.ż.'!B3:G28,MATCH(14,B4:B29,0),4)</f>
        <v>-5</v>
      </c>
      <c r="G17" s="61">
        <f>INDEX('7do 30 r.ż.'!B3:G28,MATCH(14,B4:B29,0),5)</f>
        <v>745</v>
      </c>
      <c r="H17" s="6">
        <f>INDEX('7do 30 r.ż.'!B3:G28,MATCH(14,B4:B29,0),6)</f>
        <v>-44</v>
      </c>
    </row>
    <row r="18" spans="2:8" x14ac:dyDescent="0.2">
      <c r="B18" s="6">
        <f>RANK('7do 30 r.ż.'!C17,'7do 30 r.ż.'!$C$3:'7do 30 r.ż.'!$C$28,1)+COUNTIF('7do 30 r.ż.'!$C$3:'7do 30 r.ż.'!C17,'7do 30 r.ż.'!C17)-1</f>
        <v>20</v>
      </c>
      <c r="C18" s="5" t="str">
        <f>INDEX('7do 30 r.ż.'!B3:G28,MATCH(15,B4:B29,0),1)</f>
        <v>mielecki</v>
      </c>
      <c r="D18" s="6">
        <f>INDEX('7do 30 r.ż.'!B3:G28,MATCH(15,B4:B29,0),2)</f>
        <v>735</v>
      </c>
      <c r="E18" s="61">
        <f>INDEX('7do 30 r.ż.'!B3:G28,MATCH(15,B4:B29,0),3)</f>
        <v>735</v>
      </c>
      <c r="F18" s="6">
        <f>INDEX('7do 30 r.ż.'!B3:G28,MATCH(15,B4:B29,0),4)</f>
        <v>0</v>
      </c>
      <c r="G18" s="61">
        <f>INDEX('7do 30 r.ż.'!B3:G28,MATCH(15,B4:B29,0),5)</f>
        <v>632</v>
      </c>
      <c r="H18" s="6">
        <f>INDEX('7do 30 r.ż.'!B3:G28,MATCH(15,B4:B29,0),6)</f>
        <v>103</v>
      </c>
    </row>
    <row r="19" spans="2:8" x14ac:dyDescent="0.2">
      <c r="B19" s="6">
        <f>RANK('7do 30 r.ż.'!C18,'7do 30 r.ż.'!$C$3:'7do 30 r.ż.'!$C$28,1)+COUNTIF('7do 30 r.ż.'!$C$3:'7do 30 r.ż.'!C18,'7do 30 r.ż.'!C18)-1</f>
        <v>16</v>
      </c>
      <c r="C19" s="5" t="str">
        <f>INDEX('7do 30 r.ż.'!B3:G28,MATCH(16,B4:B29,0),1)</f>
        <v>ropczycko-sędziszowski</v>
      </c>
      <c r="D19" s="6">
        <f>INDEX('7do 30 r.ż.'!B3:G28,MATCH(16,B4:B29,0),2)</f>
        <v>761</v>
      </c>
      <c r="E19" s="61">
        <f>INDEX('7do 30 r.ż.'!B3:G28,MATCH(16,B4:B29,0),3)</f>
        <v>746</v>
      </c>
      <c r="F19" s="6">
        <f>INDEX('7do 30 r.ż.'!B3:G28,MATCH(16,B4:B29,0),4)</f>
        <v>15</v>
      </c>
      <c r="G19" s="61">
        <f>INDEX('7do 30 r.ż.'!B3:G28,MATCH(16,B4:B29,0),5)</f>
        <v>830</v>
      </c>
      <c r="H19" s="6">
        <f>INDEX('7do 30 r.ż.'!B3:G28,MATCH(16,B4:B29,0),6)</f>
        <v>-69</v>
      </c>
    </row>
    <row r="20" spans="2:8" x14ac:dyDescent="0.2">
      <c r="B20" s="6">
        <f>RANK('7do 30 r.ż.'!C19,'7do 30 r.ż.'!$C$3:'7do 30 r.ż.'!$C$28,1)+COUNTIF('7do 30 r.ż.'!$C$3:'7do 30 r.ż.'!C19,'7do 30 r.ż.'!C19)-1</f>
        <v>25</v>
      </c>
      <c r="C20" s="5" t="str">
        <f>INDEX('7do 30 r.ż.'!B3:G28,MATCH(17,B4:B29,0),1)</f>
        <v>strzyżowski</v>
      </c>
      <c r="D20" s="6">
        <f>INDEX('7do 30 r.ż.'!B3:G28,MATCH(17,B4:B29,0),2)</f>
        <v>765</v>
      </c>
      <c r="E20" s="61">
        <f>INDEX('7do 30 r.ż.'!B3:G28,MATCH(17,B4:B29,0),3)</f>
        <v>795</v>
      </c>
      <c r="F20" s="6">
        <f>INDEX('7do 30 r.ż.'!B3:G28,MATCH(17,B4:B29,0),4)</f>
        <v>-30</v>
      </c>
      <c r="G20" s="61">
        <f>INDEX('7do 30 r.ż.'!B3:G28,MATCH(17,B4:B29,0),5)</f>
        <v>890</v>
      </c>
      <c r="H20" s="6">
        <f>INDEX('7do 30 r.ż.'!B3:G28,MATCH(17,B4:B29,0),6)</f>
        <v>-125</v>
      </c>
    </row>
    <row r="21" spans="2:8" x14ac:dyDescent="0.2">
      <c r="B21" s="6">
        <f>RANK('7do 30 r.ż.'!C20,'7do 30 r.ż.'!$C$3:'7do 30 r.ż.'!$C$28,1)+COUNTIF('7do 30 r.ż.'!$C$3:'7do 30 r.ż.'!C20,'7do 30 r.ż.'!C20)-1</f>
        <v>12</v>
      </c>
      <c r="C21" s="5" t="str">
        <f>INDEX('7do 30 r.ż.'!B3:G28,MATCH(18,B4:B29,0),1)</f>
        <v>niżański</v>
      </c>
      <c r="D21" s="6">
        <f>INDEX('7do 30 r.ż.'!B3:G28,MATCH(18,B4:B29,0),2)</f>
        <v>784</v>
      </c>
      <c r="E21" s="61">
        <f>INDEX('7do 30 r.ż.'!B3:G28,MATCH(18,B4:B29,0),3)</f>
        <v>784</v>
      </c>
      <c r="F21" s="6">
        <f>INDEX('7do 30 r.ż.'!B3:G28,MATCH(18,B4:B29,0),4)</f>
        <v>0</v>
      </c>
      <c r="G21" s="61">
        <f>INDEX('7do 30 r.ż.'!B3:G28,MATCH(18,B4:B29,0),5)</f>
        <v>812</v>
      </c>
      <c r="H21" s="6">
        <f>INDEX('7do 30 r.ż.'!B3:G28,MATCH(18,B4:B29,0),6)</f>
        <v>-28</v>
      </c>
    </row>
    <row r="22" spans="2:8" x14ac:dyDescent="0.2">
      <c r="B22" s="6">
        <f>RANK('7do 30 r.ż.'!C21,'7do 30 r.ż.'!$C$3:'7do 30 r.ż.'!$C$28,1)+COUNTIF('7do 30 r.ż.'!$C$3:'7do 30 r.ż.'!C21,'7do 30 r.ż.'!C21)-1</f>
        <v>9</v>
      </c>
      <c r="C22" s="5" t="str">
        <f>INDEX('7do 30 r.ż.'!B3:G28,MATCH(19,B4:B29,0),1)</f>
        <v>leżajski</v>
      </c>
      <c r="D22" s="6">
        <f>INDEX('7do 30 r.ż.'!B3:G28,MATCH(19,B4:B29,0),2)</f>
        <v>816</v>
      </c>
      <c r="E22" s="61">
        <f>INDEX('7do 30 r.ż.'!B3:G28,MATCH(19,B4:B29,0),3)</f>
        <v>800</v>
      </c>
      <c r="F22" s="6">
        <f>INDEX('7do 30 r.ż.'!B3:G28,MATCH(19,B4:B29,0),4)</f>
        <v>16</v>
      </c>
      <c r="G22" s="61">
        <f>INDEX('7do 30 r.ż.'!B3:G28,MATCH(19,B4:B29,0),5)</f>
        <v>848</v>
      </c>
      <c r="H22" s="6">
        <f>INDEX('7do 30 r.ż.'!B3:G28,MATCH(19,B4:B29,0),6)</f>
        <v>-32</v>
      </c>
    </row>
    <row r="23" spans="2:8" x14ac:dyDescent="0.2">
      <c r="B23" s="6">
        <f>RANK('7do 30 r.ż.'!C22,'7do 30 r.ż.'!$C$3:'7do 30 r.ż.'!$C$28,1)+COUNTIF('7do 30 r.ż.'!$C$3:'7do 30 r.ż.'!C22,'7do 30 r.ż.'!C22)-1</f>
        <v>17</v>
      </c>
      <c r="C23" s="5" t="str">
        <f>INDEX('7do 30 r.ż.'!B3:G28,MATCH(20,B4:B29,0),1)</f>
        <v>przeworski</v>
      </c>
      <c r="D23" s="6">
        <f>INDEX('7do 30 r.ż.'!B3:G28,MATCH(20,B4:B29,0),2)</f>
        <v>903</v>
      </c>
      <c r="E23" s="61">
        <f>INDEX('7do 30 r.ż.'!B3:G28,MATCH(20,B4:B29,0),3)</f>
        <v>852</v>
      </c>
      <c r="F23" s="6">
        <f>INDEX('7do 30 r.ż.'!B3:G28,MATCH(20,B4:B29,0),4)</f>
        <v>51</v>
      </c>
      <c r="G23" s="61">
        <f>INDEX('7do 30 r.ż.'!B3:G28,MATCH(20,B4:B29,0),5)</f>
        <v>975</v>
      </c>
      <c r="H23" s="6">
        <f>INDEX('7do 30 r.ż.'!B3:G28,MATCH(20,B4:B29,0),6)</f>
        <v>-72</v>
      </c>
    </row>
    <row r="24" spans="2:8" x14ac:dyDescent="0.2">
      <c r="B24" s="6">
        <f>RANK('7do 30 r.ż.'!C23,'7do 30 r.ż.'!$C$3:'7do 30 r.ż.'!$C$28,1)+COUNTIF('7do 30 r.ż.'!$C$3:'7do 30 r.ż.'!C23,'7do 30 r.ż.'!C23)-1</f>
        <v>4</v>
      </c>
      <c r="C24" s="5" t="str">
        <f>INDEX('7do 30 r.ż.'!B3:G28,MATCH(21,B4:B29,0),1)</f>
        <v>brzozowski</v>
      </c>
      <c r="D24" s="6">
        <f>INDEX('7do 30 r.ż.'!B3:G28,MATCH(21,B4:B29,0),2)</f>
        <v>909</v>
      </c>
      <c r="E24" s="61">
        <f>INDEX('7do 30 r.ż.'!B3:G28,MATCH(21,B4:B29,0),3)</f>
        <v>888</v>
      </c>
      <c r="F24" s="6">
        <f>INDEX('7do 30 r.ż.'!B3:G28,MATCH(21,B4:B29,0),4)</f>
        <v>21</v>
      </c>
      <c r="G24" s="61">
        <f>INDEX('7do 30 r.ż.'!B3:G28,MATCH(21,B4:B29,0),5)</f>
        <v>962</v>
      </c>
      <c r="H24" s="6">
        <f>INDEX('7do 30 r.ż.'!B3:G28,MATCH(21,B4:B29,0),6)</f>
        <v>-53</v>
      </c>
    </row>
    <row r="25" spans="2:8" x14ac:dyDescent="0.2">
      <c r="B25" s="6">
        <f>RANK('7do 30 r.ż.'!C24,'7do 30 r.ż.'!$C$3:'7do 30 r.ż.'!$C$28,1)+COUNTIF('7do 30 r.ż.'!$C$3:'7do 30 r.ż.'!C24,'7do 30 r.ż.'!C24)-1</f>
        <v>1</v>
      </c>
      <c r="C25" s="5" t="str">
        <f>INDEX('7do 30 r.ż.'!B3:G28,MATCH(22,B4:B29,0),1)</f>
        <v>Rzeszów</v>
      </c>
      <c r="D25" s="6">
        <f>INDEX('7do 30 r.ż.'!B3:G28,MATCH(22,B4:B29,0),2)</f>
        <v>969</v>
      </c>
      <c r="E25" s="61">
        <f>INDEX('7do 30 r.ż.'!B3:G28,MATCH(22,B4:B29,0),3)</f>
        <v>970</v>
      </c>
      <c r="F25" s="6">
        <f>INDEX('7do 30 r.ż.'!B3:G28,MATCH(22,B4:B29,0),4)</f>
        <v>-1</v>
      </c>
      <c r="G25" s="61">
        <f>INDEX('7do 30 r.ż.'!B3:G28,MATCH(22,B4:B29,0),5)</f>
        <v>1014</v>
      </c>
      <c r="H25" s="6">
        <f>INDEX('7do 30 r.ż.'!B3:G28,MATCH(22,B4:B29,0),6)</f>
        <v>-45</v>
      </c>
    </row>
    <row r="26" spans="2:8" x14ac:dyDescent="0.2">
      <c r="B26" s="6">
        <f>RANK('7do 30 r.ż.'!C25,'7do 30 r.ż.'!$C$3:'7do 30 r.ż.'!$C$28,1)+COUNTIF('7do 30 r.ż.'!$C$3:'7do 30 r.ż.'!C25,'7do 30 r.ż.'!C25)-1</f>
        <v>6</v>
      </c>
      <c r="C26" s="5" t="str">
        <f>INDEX('7do 30 r.ż.'!B3:G28,MATCH(23,B4:B29,0),1)</f>
        <v>jarosławski</v>
      </c>
      <c r="D26" s="6">
        <f>INDEX('7do 30 r.ż.'!B3:G28,MATCH(23,B4:B29,0),2)</f>
        <v>1062</v>
      </c>
      <c r="E26" s="61">
        <f>INDEX('7do 30 r.ż.'!B3:G28,MATCH(23,B4:B29,0),3)</f>
        <v>1061</v>
      </c>
      <c r="F26" s="6">
        <f>INDEX('7do 30 r.ż.'!B3:G28,MATCH(23,B4:B29,0),4)</f>
        <v>1</v>
      </c>
      <c r="G26" s="61">
        <f>INDEX('7do 30 r.ż.'!B3:G28,MATCH(23,B4:B29,0),5)</f>
        <v>1173</v>
      </c>
      <c r="H26" s="6">
        <f>INDEX('7do 30 r.ż.'!B3:G28,MATCH(23,B4:B29,0),6)</f>
        <v>-111</v>
      </c>
    </row>
    <row r="27" spans="2:8" x14ac:dyDescent="0.2">
      <c r="B27" s="6">
        <f>RANK('7do 30 r.ż.'!C26,'7do 30 r.ż.'!$C$3:'7do 30 r.ż.'!$C$28,1)+COUNTIF('7do 30 r.ż.'!$C$3:'7do 30 r.ż.'!C26,'7do 30 r.ż.'!C26)-1</f>
        <v>22</v>
      </c>
      <c r="C27" s="5" t="str">
        <f>INDEX('7do 30 r.ż.'!B3:G28,MATCH(24,B4:B29,0),1)</f>
        <v>jasielski</v>
      </c>
      <c r="D27" s="6">
        <f>INDEX('7do 30 r.ż.'!B3:G28,MATCH(24,B4:B29,0),2)</f>
        <v>1140</v>
      </c>
      <c r="E27" s="61">
        <f>INDEX('7do 30 r.ż.'!B3:G28,MATCH(24,B4:B29,0),3)</f>
        <v>1156</v>
      </c>
      <c r="F27" s="6">
        <f>INDEX('7do 30 r.ż.'!B3:G28,MATCH(24,B4:B29,0),4)</f>
        <v>-16</v>
      </c>
      <c r="G27" s="61">
        <f>INDEX('7do 30 r.ż.'!B3:G28,MATCH(24,B4:B29,0),5)</f>
        <v>1064</v>
      </c>
      <c r="H27" s="6">
        <f>INDEX('7do 30 r.ż.'!B3:G28,MATCH(24,B4:B29,0),6)</f>
        <v>76</v>
      </c>
    </row>
    <row r="28" spans="2:8" x14ac:dyDescent="0.2">
      <c r="B28" s="6">
        <f>RANK('7do 30 r.ż.'!C27,'7do 30 r.ż.'!$C$3:'7do 30 r.ż.'!$C$28,1)+COUNTIF('7do 30 r.ż.'!$C$3:'7do 30 r.ż.'!C27,'7do 30 r.ż.'!C27)-1</f>
        <v>2</v>
      </c>
      <c r="C28" s="5" t="str">
        <f>INDEX('7do 30 r.ż.'!B3:G28,MATCH(25,B4:B29,0),1)</f>
        <v>rzeszowski</v>
      </c>
      <c r="D28" s="6">
        <f>INDEX('7do 30 r.ż.'!B3:G28,MATCH(25,B4:B29,0),2)</f>
        <v>1189</v>
      </c>
      <c r="E28" s="61">
        <f>INDEX('7do 30 r.ż.'!B3:G28,MATCH(25,B4:B29,0),3)</f>
        <v>1153</v>
      </c>
      <c r="F28" s="6">
        <f>INDEX('7do 30 r.ż.'!B3:G28,MATCH(25,B4:B29,0),4)</f>
        <v>36</v>
      </c>
      <c r="G28" s="61">
        <f>INDEX('7do 30 r.ż.'!B3:G28,MATCH(25,B4:B29,0),5)</f>
        <v>1308</v>
      </c>
      <c r="H28" s="6">
        <f>INDEX('7do 30 r.ż.'!B3:G28,MATCH(25,B4:B29,0),6)</f>
        <v>-119</v>
      </c>
    </row>
    <row r="29" spans="2:8" ht="15" x14ac:dyDescent="0.25">
      <c r="B29" s="59">
        <f>RANK('7do 30 r.ż.'!C28,'7do 30 r.ż.'!$C$3:'7do 30 r.ż.'!$C$28,1)+COUNTIF('7do 30 r.ż.'!$C$3:'7do 30 r.ż.'!C28,'7do 30 r.ż.'!C28)-1</f>
        <v>26</v>
      </c>
      <c r="C29" s="58" t="str">
        <f>INDEX('7do 30 r.ż.'!B3:G28,MATCH(26,B4:B29,0),1)</f>
        <v>województwo</v>
      </c>
      <c r="D29" s="59">
        <f>INDEX('7do 30 r.ż.'!B3:G28,MATCH(26,B4:B29,0),2)</f>
        <v>16328</v>
      </c>
      <c r="E29" s="63">
        <f>INDEX('7do 30 r.ż.'!B3:G28,MATCH(26,B4:B29,0),3)</f>
        <v>16211</v>
      </c>
      <c r="F29" s="59">
        <f>INDEX('7do 30 r.ż.'!B3:G28,MATCH(26,B4:B29,0),4)</f>
        <v>117</v>
      </c>
      <c r="G29" s="63">
        <f>INDEX('7do 30 r.ż.'!B3:G28,MATCH(26,B4:B29,0),5)</f>
        <v>16703</v>
      </c>
      <c r="H29" s="59">
        <f>INDEX('7do 30 r.ż.'!B3:G28,MATCH(26,B4:B29,0),6)</f>
        <v>-375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28515625" style="3" customWidth="1"/>
    <col min="3" max="3" width="14.7109375" style="3" customWidth="1"/>
    <col min="4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6384" width="9.140625" style="3"/>
  </cols>
  <sheetData>
    <row r="1" spans="2:8" ht="17.25" customHeight="1" x14ac:dyDescent="0.2">
      <c r="B1" s="1" t="s">
        <v>84</v>
      </c>
      <c r="C1" s="46"/>
      <c r="D1" s="46"/>
      <c r="E1" s="46"/>
      <c r="F1" s="46"/>
      <c r="G1" s="46"/>
    </row>
    <row r="2" spans="2:8" ht="57" x14ac:dyDescent="0.2">
      <c r="B2" s="55" t="s">
        <v>27</v>
      </c>
      <c r="C2" s="56" t="s">
        <v>142</v>
      </c>
      <c r="D2" s="57" t="s">
        <v>124</v>
      </c>
      <c r="E2" s="56" t="s">
        <v>28</v>
      </c>
      <c r="F2" s="57" t="s">
        <v>143</v>
      </c>
      <c r="G2" s="56" t="s">
        <v>26</v>
      </c>
    </row>
    <row r="3" spans="2:8" x14ac:dyDescent="0.2">
      <c r="B3" s="5" t="s">
        <v>0</v>
      </c>
      <c r="C3" s="45">
        <v>249</v>
      </c>
      <c r="D3" s="61">
        <v>248</v>
      </c>
      <c r="E3" s="45">
        <f t="shared" ref="E3:E27" si="0">SUM(C3)-D3</f>
        <v>1</v>
      </c>
      <c r="F3" s="61">
        <v>241</v>
      </c>
      <c r="G3" s="45">
        <f t="shared" ref="G3:G27" si="1">SUM(C3)-F3</f>
        <v>8</v>
      </c>
      <c r="H3" s="7"/>
    </row>
    <row r="4" spans="2:8" x14ac:dyDescent="0.2">
      <c r="B4" s="5" t="s">
        <v>1</v>
      </c>
      <c r="C4" s="45">
        <v>918</v>
      </c>
      <c r="D4" s="61">
        <v>906</v>
      </c>
      <c r="E4" s="45">
        <f t="shared" si="0"/>
        <v>12</v>
      </c>
      <c r="F4" s="61">
        <v>997</v>
      </c>
      <c r="G4" s="45">
        <f t="shared" si="1"/>
        <v>-79</v>
      </c>
      <c r="H4" s="7"/>
    </row>
    <row r="5" spans="2:8" x14ac:dyDescent="0.2">
      <c r="B5" s="5" t="s">
        <v>2</v>
      </c>
      <c r="C5" s="45">
        <v>567</v>
      </c>
      <c r="D5" s="61">
        <v>581</v>
      </c>
      <c r="E5" s="45">
        <f t="shared" si="0"/>
        <v>-14</v>
      </c>
      <c r="F5" s="61">
        <v>572</v>
      </c>
      <c r="G5" s="45">
        <f t="shared" si="1"/>
        <v>-5</v>
      </c>
      <c r="H5" s="7"/>
    </row>
    <row r="6" spans="2:8" x14ac:dyDescent="0.2">
      <c r="B6" s="5" t="s">
        <v>3</v>
      </c>
      <c r="C6" s="45">
        <v>1066</v>
      </c>
      <c r="D6" s="61">
        <v>1046</v>
      </c>
      <c r="E6" s="45">
        <f t="shared" si="0"/>
        <v>20</v>
      </c>
      <c r="F6" s="61">
        <v>1118</v>
      </c>
      <c r="G6" s="45">
        <f t="shared" si="1"/>
        <v>-52</v>
      </c>
      <c r="H6" s="7"/>
    </row>
    <row r="7" spans="2:8" x14ac:dyDescent="0.2">
      <c r="B7" s="5" t="s">
        <v>4</v>
      </c>
      <c r="C7" s="45">
        <v>1097</v>
      </c>
      <c r="D7" s="61">
        <v>1092</v>
      </c>
      <c r="E7" s="45">
        <f t="shared" si="0"/>
        <v>5</v>
      </c>
      <c r="F7" s="61">
        <v>1116</v>
      </c>
      <c r="G7" s="45">
        <f t="shared" si="1"/>
        <v>-19</v>
      </c>
      <c r="H7" s="7"/>
    </row>
    <row r="8" spans="2:8" x14ac:dyDescent="0.2">
      <c r="B8" s="5" t="s">
        <v>5</v>
      </c>
      <c r="C8" s="45">
        <v>394</v>
      </c>
      <c r="D8" s="61">
        <v>399</v>
      </c>
      <c r="E8" s="45">
        <f t="shared" si="0"/>
        <v>-5</v>
      </c>
      <c r="F8" s="61">
        <v>453</v>
      </c>
      <c r="G8" s="45">
        <f t="shared" si="1"/>
        <v>-59</v>
      </c>
      <c r="H8" s="7"/>
    </row>
    <row r="9" spans="2:8" x14ac:dyDescent="0.2">
      <c r="B9" s="9" t="s">
        <v>6</v>
      </c>
      <c r="C9" s="45">
        <v>549</v>
      </c>
      <c r="D9" s="61">
        <v>558</v>
      </c>
      <c r="E9" s="45">
        <f t="shared" si="0"/>
        <v>-9</v>
      </c>
      <c r="F9" s="61">
        <v>546</v>
      </c>
      <c r="G9" s="45">
        <f t="shared" si="1"/>
        <v>3</v>
      </c>
      <c r="H9" s="7"/>
    </row>
    <row r="10" spans="2:8" x14ac:dyDescent="0.2">
      <c r="B10" s="5" t="s">
        <v>7</v>
      </c>
      <c r="C10" s="45">
        <v>381</v>
      </c>
      <c r="D10" s="61">
        <v>393</v>
      </c>
      <c r="E10" s="45">
        <f t="shared" si="0"/>
        <v>-12</v>
      </c>
      <c r="F10" s="61">
        <v>380</v>
      </c>
      <c r="G10" s="45">
        <f t="shared" si="1"/>
        <v>1</v>
      </c>
      <c r="H10" s="7"/>
    </row>
    <row r="11" spans="2:8" x14ac:dyDescent="0.2">
      <c r="B11" s="5" t="s">
        <v>8</v>
      </c>
      <c r="C11" s="45">
        <v>684</v>
      </c>
      <c r="D11" s="61">
        <v>660</v>
      </c>
      <c r="E11" s="45">
        <f t="shared" si="0"/>
        <v>24</v>
      </c>
      <c r="F11" s="61">
        <v>721</v>
      </c>
      <c r="G11" s="45">
        <f t="shared" si="1"/>
        <v>-37</v>
      </c>
      <c r="H11" s="7"/>
    </row>
    <row r="12" spans="2:8" x14ac:dyDescent="0.2">
      <c r="B12" s="5" t="s">
        <v>9</v>
      </c>
      <c r="C12" s="45">
        <v>462</v>
      </c>
      <c r="D12" s="61">
        <v>458</v>
      </c>
      <c r="E12" s="45">
        <f t="shared" si="0"/>
        <v>4</v>
      </c>
      <c r="F12" s="61">
        <v>448</v>
      </c>
      <c r="G12" s="45">
        <f t="shared" si="1"/>
        <v>14</v>
      </c>
      <c r="H12" s="7"/>
    </row>
    <row r="13" spans="2:8" x14ac:dyDescent="0.2">
      <c r="B13" s="5" t="s">
        <v>10</v>
      </c>
      <c r="C13" s="45">
        <v>579</v>
      </c>
      <c r="D13" s="61">
        <v>562</v>
      </c>
      <c r="E13" s="45">
        <f t="shared" si="0"/>
        <v>17</v>
      </c>
      <c r="F13" s="61">
        <v>681</v>
      </c>
      <c r="G13" s="45">
        <f t="shared" si="1"/>
        <v>-102</v>
      </c>
      <c r="H13" s="7"/>
    </row>
    <row r="14" spans="2:8" x14ac:dyDescent="0.2">
      <c r="B14" s="5" t="s">
        <v>11</v>
      </c>
      <c r="C14" s="45">
        <v>731</v>
      </c>
      <c r="D14" s="61">
        <v>705</v>
      </c>
      <c r="E14" s="45">
        <f t="shared" si="0"/>
        <v>26</v>
      </c>
      <c r="F14" s="61">
        <v>694</v>
      </c>
      <c r="G14" s="45">
        <f t="shared" si="1"/>
        <v>37</v>
      </c>
      <c r="H14" s="7"/>
    </row>
    <row r="15" spans="2:8" x14ac:dyDescent="0.2">
      <c r="B15" s="5" t="s">
        <v>12</v>
      </c>
      <c r="C15" s="45">
        <v>738</v>
      </c>
      <c r="D15" s="61">
        <v>738</v>
      </c>
      <c r="E15" s="45">
        <f t="shared" si="0"/>
        <v>0</v>
      </c>
      <c r="F15" s="61">
        <v>779</v>
      </c>
      <c r="G15" s="45">
        <f t="shared" si="1"/>
        <v>-41</v>
      </c>
      <c r="H15" s="7"/>
    </row>
    <row r="16" spans="2:8" x14ac:dyDescent="0.2">
      <c r="B16" s="5" t="s">
        <v>13</v>
      </c>
      <c r="C16" s="45">
        <v>679</v>
      </c>
      <c r="D16" s="61">
        <v>697</v>
      </c>
      <c r="E16" s="45">
        <f t="shared" si="0"/>
        <v>-18</v>
      </c>
      <c r="F16" s="61">
        <v>718</v>
      </c>
      <c r="G16" s="45">
        <f t="shared" si="1"/>
        <v>-39</v>
      </c>
      <c r="H16" s="7"/>
    </row>
    <row r="17" spans="2:8" x14ac:dyDescent="0.2">
      <c r="B17" s="5" t="s">
        <v>14</v>
      </c>
      <c r="C17" s="45">
        <v>669</v>
      </c>
      <c r="D17" s="61">
        <v>657</v>
      </c>
      <c r="E17" s="45">
        <f t="shared" si="0"/>
        <v>12</v>
      </c>
      <c r="F17" s="61">
        <v>710</v>
      </c>
      <c r="G17" s="45">
        <f t="shared" si="1"/>
        <v>-41</v>
      </c>
      <c r="H17" s="7"/>
    </row>
    <row r="18" spans="2:8" x14ac:dyDescent="0.2">
      <c r="B18" s="5" t="s">
        <v>15</v>
      </c>
      <c r="C18" s="45">
        <v>572</v>
      </c>
      <c r="D18" s="61">
        <v>567</v>
      </c>
      <c r="E18" s="45">
        <f t="shared" si="0"/>
        <v>5</v>
      </c>
      <c r="F18" s="61">
        <v>656</v>
      </c>
      <c r="G18" s="45">
        <f t="shared" si="1"/>
        <v>-84</v>
      </c>
      <c r="H18" s="7"/>
    </row>
    <row r="19" spans="2:8" x14ac:dyDescent="0.2">
      <c r="B19" s="5" t="s">
        <v>16</v>
      </c>
      <c r="C19" s="45">
        <v>1125</v>
      </c>
      <c r="D19" s="61">
        <v>1130</v>
      </c>
      <c r="E19" s="45">
        <f t="shared" si="0"/>
        <v>-5</v>
      </c>
      <c r="F19" s="61">
        <v>1219</v>
      </c>
      <c r="G19" s="45">
        <f t="shared" si="1"/>
        <v>-94</v>
      </c>
      <c r="H19" s="7"/>
    </row>
    <row r="20" spans="2:8" x14ac:dyDescent="0.2">
      <c r="B20" s="5" t="s">
        <v>17</v>
      </c>
      <c r="C20" s="45">
        <v>621</v>
      </c>
      <c r="D20" s="61">
        <v>617</v>
      </c>
      <c r="E20" s="45">
        <f t="shared" si="0"/>
        <v>4</v>
      </c>
      <c r="F20" s="61">
        <v>591</v>
      </c>
      <c r="G20" s="45">
        <f t="shared" si="1"/>
        <v>30</v>
      </c>
      <c r="H20" s="7"/>
    </row>
    <row r="21" spans="2:8" x14ac:dyDescent="0.2">
      <c r="B21" s="5" t="s">
        <v>18</v>
      </c>
      <c r="C21" s="45">
        <v>501</v>
      </c>
      <c r="D21" s="61">
        <v>488</v>
      </c>
      <c r="E21" s="45">
        <f t="shared" si="0"/>
        <v>13</v>
      </c>
      <c r="F21" s="61">
        <v>565</v>
      </c>
      <c r="G21" s="45">
        <f t="shared" si="1"/>
        <v>-64</v>
      </c>
      <c r="H21" s="7"/>
    </row>
    <row r="22" spans="2:8" x14ac:dyDescent="0.2">
      <c r="B22" s="5" t="s">
        <v>19</v>
      </c>
      <c r="C22" s="45">
        <v>720</v>
      </c>
      <c r="D22" s="61">
        <v>725</v>
      </c>
      <c r="E22" s="45">
        <f t="shared" si="0"/>
        <v>-5</v>
      </c>
      <c r="F22" s="61">
        <v>758</v>
      </c>
      <c r="G22" s="45">
        <f t="shared" si="1"/>
        <v>-38</v>
      </c>
      <c r="H22" s="7"/>
    </row>
    <row r="23" spans="2:8" x14ac:dyDescent="0.2">
      <c r="B23" s="5" t="s">
        <v>20</v>
      </c>
      <c r="C23" s="45">
        <v>351</v>
      </c>
      <c r="D23" s="61">
        <v>343</v>
      </c>
      <c r="E23" s="45">
        <f t="shared" si="0"/>
        <v>8</v>
      </c>
      <c r="F23" s="61">
        <v>344</v>
      </c>
      <c r="G23" s="45">
        <f t="shared" si="1"/>
        <v>7</v>
      </c>
      <c r="H23" s="7"/>
    </row>
    <row r="24" spans="2:8" x14ac:dyDescent="0.2">
      <c r="B24" s="5" t="s">
        <v>21</v>
      </c>
      <c r="C24" s="45">
        <v>162</v>
      </c>
      <c r="D24" s="61">
        <v>175</v>
      </c>
      <c r="E24" s="45">
        <f t="shared" si="0"/>
        <v>-13</v>
      </c>
      <c r="F24" s="61">
        <v>182</v>
      </c>
      <c r="G24" s="45">
        <f t="shared" si="1"/>
        <v>-20</v>
      </c>
      <c r="H24" s="7"/>
    </row>
    <row r="25" spans="2:8" x14ac:dyDescent="0.2">
      <c r="B25" s="5" t="s">
        <v>22</v>
      </c>
      <c r="C25" s="45">
        <v>701</v>
      </c>
      <c r="D25" s="61">
        <v>723</v>
      </c>
      <c r="E25" s="45">
        <f t="shared" si="0"/>
        <v>-22</v>
      </c>
      <c r="F25" s="61">
        <v>750</v>
      </c>
      <c r="G25" s="45">
        <f t="shared" si="1"/>
        <v>-49</v>
      </c>
      <c r="H25" s="7"/>
    </row>
    <row r="26" spans="2:8" x14ac:dyDescent="0.2">
      <c r="B26" s="5" t="s">
        <v>23</v>
      </c>
      <c r="C26" s="45">
        <v>1399</v>
      </c>
      <c r="D26" s="61">
        <v>1413</v>
      </c>
      <c r="E26" s="45">
        <f t="shared" si="0"/>
        <v>-14</v>
      </c>
      <c r="F26" s="61">
        <v>1571</v>
      </c>
      <c r="G26" s="45">
        <f t="shared" si="1"/>
        <v>-172</v>
      </c>
      <c r="H26" s="7"/>
    </row>
    <row r="27" spans="2:8" x14ac:dyDescent="0.2">
      <c r="B27" s="5" t="s">
        <v>24</v>
      </c>
      <c r="C27" s="45">
        <v>294</v>
      </c>
      <c r="D27" s="61">
        <v>293</v>
      </c>
      <c r="E27" s="45">
        <f t="shared" si="0"/>
        <v>1</v>
      </c>
      <c r="F27" s="61">
        <v>353</v>
      </c>
      <c r="G27" s="45">
        <f t="shared" si="1"/>
        <v>-59</v>
      </c>
      <c r="H27" s="7"/>
    </row>
    <row r="28" spans="2:8" ht="15" x14ac:dyDescent="0.25">
      <c r="B28" s="58" t="s">
        <v>25</v>
      </c>
      <c r="C28" s="78">
        <f>SUM(C3:C27)</f>
        <v>16209</v>
      </c>
      <c r="D28" s="63">
        <f>SUM(D3:D27)</f>
        <v>16174</v>
      </c>
      <c r="E28" s="78">
        <f>SUM(E3:E27)</f>
        <v>35</v>
      </c>
      <c r="F28" s="63">
        <f>SUM(F3:F27)</f>
        <v>17163</v>
      </c>
      <c r="G28" s="78">
        <f>SUM(G3:G27)</f>
        <v>-954</v>
      </c>
      <c r="H28" s="7"/>
    </row>
    <row r="29" spans="2:8" x14ac:dyDescent="0.2"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84</v>
      </c>
    </row>
    <row r="2" spans="2:8" ht="15" x14ac:dyDescent="0.2">
      <c r="C2" s="20"/>
      <c r="D2" s="21"/>
    </row>
    <row r="3" spans="2:8" ht="57" x14ac:dyDescent="0.2">
      <c r="B3" s="62" t="s">
        <v>88</v>
      </c>
      <c r="C3" s="55" t="str">
        <f>T('8pow. 50 r.ż.'!B2)</f>
        <v>powiaty</v>
      </c>
      <c r="D3" s="55" t="str">
        <f>T('8pow. 50 r.ż.'!C2)</f>
        <v>liczba bezrobotnych 50+ stan na 31 VII '23 r.</v>
      </c>
      <c r="E3" s="55" t="str">
        <f>T('8pow. 50 r.ż.'!D2)</f>
        <v>liczba bezrobotnych 50+ stan na 30 VI '23 r.</v>
      </c>
      <c r="F3" s="55" t="str">
        <f>T('8pow. 50 r.ż.'!E2)</f>
        <v>wzrost/spadek do poprzedniego  miesiąca</v>
      </c>
      <c r="G3" s="55" t="str">
        <f>T('8pow. 50 r.ż.'!F2)</f>
        <v>liczba bezrobotnych 50+ stan na 31 VII '22 r.</v>
      </c>
      <c r="H3" s="55" t="str">
        <f>T('8pow. 50 r.ż.'!G2)</f>
        <v>wzrost/spadek do analogicznego okresu ubr.</v>
      </c>
    </row>
    <row r="4" spans="2:8" x14ac:dyDescent="0.2">
      <c r="B4" s="6">
        <f>RANK('8pow. 50 r.ż.'!C3,'8pow. 50 r.ż.'!$C$3:'8pow. 50 r.ż.'!$C$28,1)+COUNTIF('8pow. 50 r.ż.'!$C$3:'8pow. 50 r.ż.'!C3,'8pow. 50 r.ż.'!C3)-1</f>
        <v>2</v>
      </c>
      <c r="C4" s="5" t="str">
        <f>INDEX('8pow. 50 r.ż.'!B3:G28,MATCH(1,B4:B29,0),1)</f>
        <v>Krosno</v>
      </c>
      <c r="D4" s="25">
        <f>INDEX('8pow. 50 r.ż.'!B3:G28,MATCH(1,B4:B29,0),2)</f>
        <v>162</v>
      </c>
      <c r="E4" s="61">
        <f>INDEX('8pow. 50 r.ż.'!B3:G28,MATCH(1,B4:B29,0),3)</f>
        <v>175</v>
      </c>
      <c r="F4" s="6">
        <f>INDEX('8pow. 50 r.ż.'!B3:G28,MATCH(1,B4:B29,0),4)</f>
        <v>-13</v>
      </c>
      <c r="G4" s="61">
        <f>INDEX('8pow. 50 r.ż.'!B3:G28,MATCH(1,B4:B29,0),5)</f>
        <v>182</v>
      </c>
      <c r="H4" s="6">
        <f>INDEX('8pow. 50 r.ż.'!B3:G28,MATCH(1,B4:B29,0),6)</f>
        <v>-20</v>
      </c>
    </row>
    <row r="5" spans="2:8" x14ac:dyDescent="0.2">
      <c r="B5" s="6">
        <f>RANK('8pow. 50 r.ż.'!C4,'8pow. 50 r.ż.'!$C$3:'8pow. 50 r.ż.'!$C$28,1)+COUNTIF('8pow. 50 r.ż.'!$C$3:'8pow. 50 r.ż.'!C4,'8pow. 50 r.ż.'!C4)-1</f>
        <v>21</v>
      </c>
      <c r="C5" s="5" t="str">
        <f>INDEX('8pow. 50 r.ż.'!B3:G28,MATCH(2,B4:B29,0),1)</f>
        <v>bieszczadzki</v>
      </c>
      <c r="D5" s="6">
        <f>INDEX('8pow. 50 r.ż.'!B3:G28,MATCH(2,B4:B29,0),2)</f>
        <v>249</v>
      </c>
      <c r="E5" s="61">
        <f>INDEX('8pow. 50 r.ż.'!B3:G28,MATCH(2,B4:B29,0),3)</f>
        <v>248</v>
      </c>
      <c r="F5" s="6">
        <f>INDEX('8pow. 50 r.ż.'!B3:G28,MATCH(2,B4:B29,0),4)</f>
        <v>1</v>
      </c>
      <c r="G5" s="61">
        <f>INDEX('8pow. 50 r.ż.'!B3:G28,MATCH(2,B4:B29,0),5)</f>
        <v>241</v>
      </c>
      <c r="H5" s="6">
        <f>INDEX('8pow. 50 r.ż.'!B3:G28,MATCH(2,B4:B29,0),6)</f>
        <v>8</v>
      </c>
    </row>
    <row r="6" spans="2:8" x14ac:dyDescent="0.2">
      <c r="B6" s="6">
        <f>RANK('8pow. 50 r.ż.'!C5,'8pow. 50 r.ż.'!$C$3:'8pow. 50 r.ż.'!$C$28,1)+COUNTIF('8pow. 50 r.ż.'!$C$3:'8pow. 50 r.ż.'!C5,'8pow. 50 r.ż.'!C5)-1</f>
        <v>10</v>
      </c>
      <c r="C6" s="5" t="str">
        <f>INDEX('8pow. 50 r.ż.'!B3:G28,MATCH(3,B4:B29,0),1)</f>
        <v>Tarnobrzeg</v>
      </c>
      <c r="D6" s="6">
        <f>INDEX('8pow. 50 r.ż.'!B3:G28,MATCH(3,B4:B29,0),2)</f>
        <v>294</v>
      </c>
      <c r="E6" s="61">
        <f>INDEX('8pow. 50 r.ż.'!B3:G28,MATCH(3,B4:B29,0),3)</f>
        <v>293</v>
      </c>
      <c r="F6" s="6">
        <f>INDEX('8pow. 50 r.ż.'!B3:G28,MATCH(3,B4:B29,0),4)</f>
        <v>1</v>
      </c>
      <c r="G6" s="61">
        <f>INDEX('8pow. 50 r.ż.'!B3:G28,MATCH(3,B4:B29,0),5)</f>
        <v>353</v>
      </c>
      <c r="H6" s="6">
        <f>INDEX('8pow. 50 r.ż.'!B3:G28,MATCH(3,B4:B29,0),6)</f>
        <v>-59</v>
      </c>
    </row>
    <row r="7" spans="2:8" x14ac:dyDescent="0.2">
      <c r="B7" s="6">
        <f>RANK('8pow. 50 r.ż.'!C6,'8pow. 50 r.ż.'!$C$3:'8pow. 50 r.ż.'!$C$28,1)+COUNTIF('8pow. 50 r.ż.'!$C$3:'8pow. 50 r.ż.'!C6,'8pow. 50 r.ż.'!C6)-1</f>
        <v>22</v>
      </c>
      <c r="C7" s="5" t="str">
        <f>INDEX('8pow. 50 r.ż.'!B3:G28,MATCH(4,B4:B29,0),1)</f>
        <v xml:space="preserve">tarnobrzeski </v>
      </c>
      <c r="D7" s="6">
        <f>INDEX('8pow. 50 r.ż.'!B3:G28,MATCH(4,B4:B29,0),2)</f>
        <v>351</v>
      </c>
      <c r="E7" s="61">
        <f>INDEX('8pow. 50 r.ż.'!B3:G28,MATCH(4,B4:B29,0),3)</f>
        <v>343</v>
      </c>
      <c r="F7" s="6">
        <f>INDEX('8pow. 50 r.ż.'!B3:G28,MATCH(4,B4:B29,0),4)</f>
        <v>8</v>
      </c>
      <c r="G7" s="61">
        <f>INDEX('8pow. 50 r.ż.'!B3:G28,MATCH(4,B4:B29,0),5)</f>
        <v>344</v>
      </c>
      <c r="H7" s="6">
        <f>INDEX('8pow. 50 r.ż.'!B3:G28,MATCH(4,B4:B29,0),6)</f>
        <v>7</v>
      </c>
    </row>
    <row r="8" spans="2:8" x14ac:dyDescent="0.2">
      <c r="B8" s="6">
        <f>RANK('8pow. 50 r.ż.'!C7,'8pow. 50 r.ż.'!$C$3:'8pow. 50 r.ż.'!$C$28,1)+COUNTIF('8pow. 50 r.ż.'!$C$3:'8pow. 50 r.ż.'!C7,'8pow. 50 r.ż.'!C7)-1</f>
        <v>23</v>
      </c>
      <c r="C8" s="5" t="str">
        <f>INDEX('8pow. 50 r.ż.'!B3:G28,MATCH(5,B4:B29,0),1)</f>
        <v>leski</v>
      </c>
      <c r="D8" s="6">
        <f>INDEX('8pow. 50 r.ż.'!B3:G28,MATCH(5,B4:B29,0),2)</f>
        <v>381</v>
      </c>
      <c r="E8" s="61">
        <f>INDEX('8pow. 50 r.ż.'!B3:G28,MATCH(5,B4:B29,0),3)</f>
        <v>393</v>
      </c>
      <c r="F8" s="6">
        <f>INDEX('8pow. 50 r.ż.'!B3:G28,MATCH(5,B4:B29,0),4)</f>
        <v>-12</v>
      </c>
      <c r="G8" s="61">
        <f>INDEX('8pow. 50 r.ż.'!B3:G28,MATCH(5,B4:B29,0),5)</f>
        <v>380</v>
      </c>
      <c r="H8" s="6">
        <f>INDEX('8pow. 50 r.ż.'!B3:G28,MATCH(5,B4:B29,0),6)</f>
        <v>1</v>
      </c>
    </row>
    <row r="9" spans="2:8" x14ac:dyDescent="0.2">
      <c r="B9" s="6">
        <f>RANK('8pow. 50 r.ż.'!C8,'8pow. 50 r.ż.'!$C$3:'8pow. 50 r.ż.'!$C$28,1)+COUNTIF('8pow. 50 r.ż.'!$C$3:'8pow. 50 r.ż.'!C8,'8pow. 50 r.ż.'!C8)-1</f>
        <v>6</v>
      </c>
      <c r="C9" s="5" t="str">
        <f>INDEX('8pow. 50 r.ż.'!B3:G28,MATCH(6,B4:B29,0),1)</f>
        <v>kolbuszowski</v>
      </c>
      <c r="D9" s="6">
        <f>INDEX('8pow. 50 r.ż.'!B3:G28,MATCH(6,B4:B29,0),2)</f>
        <v>394</v>
      </c>
      <c r="E9" s="61">
        <f>INDEX('8pow. 50 r.ż.'!B3:G28,MATCH(6,B4:B29,0),3)</f>
        <v>399</v>
      </c>
      <c r="F9" s="6">
        <f>INDEX('8pow. 50 r.ż.'!B3:G28,MATCH(6,B4:B29,0),4)</f>
        <v>-5</v>
      </c>
      <c r="G9" s="61">
        <f>INDEX('8pow. 50 r.ż.'!B3:G28,MATCH(6,B4:B29,0),5)</f>
        <v>453</v>
      </c>
      <c r="H9" s="6">
        <f>INDEX('8pow. 50 r.ż.'!B3:G28,MATCH(6,B4:B29,0),6)</f>
        <v>-59</v>
      </c>
    </row>
    <row r="10" spans="2:8" x14ac:dyDescent="0.2">
      <c r="B10" s="6">
        <f>RANK('8pow. 50 r.ż.'!C9,'8pow. 50 r.ż.'!$C$3:'8pow. 50 r.ż.'!$C$28,1)+COUNTIF('8pow. 50 r.ż.'!$C$3:'8pow. 50 r.ż.'!C9,'8pow. 50 r.ż.'!C9)-1</f>
        <v>9</v>
      </c>
      <c r="C10" s="9" t="str">
        <f>INDEX('8pow. 50 r.ż.'!B3:G28,MATCH(7,B4:B29,0),1)</f>
        <v>lubaczowski</v>
      </c>
      <c r="D10" s="6">
        <f>INDEX('8pow. 50 r.ż.'!B3:G28,MATCH(7,B4:B29,0),2)</f>
        <v>462</v>
      </c>
      <c r="E10" s="61">
        <f>INDEX('8pow. 50 r.ż.'!B3:G28,MATCH(7,B4:B29,0),3)</f>
        <v>458</v>
      </c>
      <c r="F10" s="6">
        <f>INDEX('8pow. 50 r.ż.'!B3:G28,MATCH(7,B4:B29,0),4)</f>
        <v>4</v>
      </c>
      <c r="G10" s="61">
        <f>INDEX('8pow. 50 r.ż.'!B3:G28,MATCH(7,B4:B29,0),5)</f>
        <v>448</v>
      </c>
      <c r="H10" s="6">
        <f>INDEX('8pow. 50 r.ż.'!B3:G28,MATCH(7,B4:B29,0),6)</f>
        <v>14</v>
      </c>
    </row>
    <row r="11" spans="2:8" x14ac:dyDescent="0.2">
      <c r="B11" s="6">
        <f>RANK('8pow. 50 r.ż.'!C10,'8pow. 50 r.ż.'!$C$3:'8pow. 50 r.ż.'!$C$28,1)+COUNTIF('8pow. 50 r.ż.'!$C$3:'8pow. 50 r.ż.'!C10,'8pow. 50 r.ż.'!C10)-1</f>
        <v>5</v>
      </c>
      <c r="C11" s="5" t="str">
        <f>INDEX('8pow. 50 r.ż.'!B3:G28,MATCH(8,B4:B29,0),1)</f>
        <v>stalowowolski</v>
      </c>
      <c r="D11" s="6">
        <f>INDEX('8pow. 50 r.ż.'!B3:G28,MATCH(8,B4:B29,0),2)</f>
        <v>501</v>
      </c>
      <c r="E11" s="61">
        <f>INDEX('8pow. 50 r.ż.'!B3:G28,MATCH(8,B4:B29,0),3)</f>
        <v>488</v>
      </c>
      <c r="F11" s="6">
        <f>INDEX('8pow. 50 r.ż.'!B3:G28,MATCH(8,B4:B29,0),4)</f>
        <v>13</v>
      </c>
      <c r="G11" s="61">
        <f>INDEX('8pow. 50 r.ż.'!B3:G28,MATCH(8,B4:B29,0),5)</f>
        <v>565</v>
      </c>
      <c r="H11" s="6">
        <f>INDEX('8pow. 50 r.ż.'!B3:G28,MATCH(8,B4:B29,0),6)</f>
        <v>-64</v>
      </c>
    </row>
    <row r="12" spans="2:8" x14ac:dyDescent="0.2">
      <c r="B12" s="6">
        <f>RANK('8pow. 50 r.ż.'!C11,'8pow. 50 r.ż.'!$C$3:'8pow. 50 r.ż.'!$C$28,1)+COUNTIF('8pow. 50 r.ż.'!$C$3:'8pow. 50 r.ż.'!C11,'8pow. 50 r.ż.'!C11)-1</f>
        <v>16</v>
      </c>
      <c r="C12" s="5" t="str">
        <f>INDEX('8pow. 50 r.ż.'!B3:G28,MATCH(9,B4:B29,0),1)</f>
        <v>krośnieński</v>
      </c>
      <c r="D12" s="6">
        <f>INDEX('8pow. 50 r.ż.'!B3:G28,MATCH(9,B4:B29,0),2)</f>
        <v>549</v>
      </c>
      <c r="E12" s="61">
        <f>INDEX('8pow. 50 r.ż.'!B3:G28,MATCH(9,B4:B29,0),3)</f>
        <v>558</v>
      </c>
      <c r="F12" s="6">
        <f>INDEX('8pow. 50 r.ż.'!B3:G28,MATCH(9,B4:B29,0),4)</f>
        <v>-9</v>
      </c>
      <c r="G12" s="61">
        <f>INDEX('8pow. 50 r.ż.'!B3:G28,MATCH(9,B4:B29,0),5)</f>
        <v>546</v>
      </c>
      <c r="H12" s="6">
        <f>INDEX('8pow. 50 r.ż.'!B3:G28,MATCH(9,B4:B29,0),6)</f>
        <v>3</v>
      </c>
    </row>
    <row r="13" spans="2:8" x14ac:dyDescent="0.2">
      <c r="B13" s="6">
        <f>RANK('8pow. 50 r.ż.'!C12,'8pow. 50 r.ż.'!$C$3:'8pow. 50 r.ż.'!$C$28,1)+COUNTIF('8pow. 50 r.ż.'!$C$3:'8pow. 50 r.ż.'!C12,'8pow. 50 r.ż.'!C12)-1</f>
        <v>7</v>
      </c>
      <c r="C13" s="5" t="str">
        <f>INDEX('8pow. 50 r.ż.'!B3:G28,MATCH(10,B4:B29,0),1)</f>
        <v>dębicki</v>
      </c>
      <c r="D13" s="6">
        <f>INDEX('8pow. 50 r.ż.'!B3:G28,MATCH(10,B4:B29,0),2)</f>
        <v>567</v>
      </c>
      <c r="E13" s="61">
        <f>INDEX('8pow. 50 r.ż.'!B3:G28,MATCH(10,B4:B29,0),3)</f>
        <v>581</v>
      </c>
      <c r="F13" s="6">
        <f>INDEX('8pow. 50 r.ż.'!B3:G28,MATCH(10,B4:B29,0),4)</f>
        <v>-14</v>
      </c>
      <c r="G13" s="61">
        <f>INDEX('8pow. 50 r.ż.'!B3:G28,MATCH(10,B4:B29,0),5)</f>
        <v>572</v>
      </c>
      <c r="H13" s="6">
        <f>INDEX('8pow. 50 r.ż.'!B3:G28,MATCH(10,B4:B29,0),6)</f>
        <v>-5</v>
      </c>
    </row>
    <row r="14" spans="2:8" x14ac:dyDescent="0.2">
      <c r="B14" s="6">
        <f>RANK('8pow. 50 r.ż.'!C13,'8pow. 50 r.ż.'!$C$3:'8pow. 50 r.ż.'!$C$28,1)+COUNTIF('8pow. 50 r.ż.'!$C$3:'8pow. 50 r.ż.'!C13,'8pow. 50 r.ż.'!C13)-1</f>
        <v>12</v>
      </c>
      <c r="C14" s="5" t="str">
        <f>INDEX('8pow. 50 r.ż.'!B3:G28,MATCH(11,B4:B29,0),1)</f>
        <v>ropczycko-sędziszowski</v>
      </c>
      <c r="D14" s="6">
        <f>INDEX('8pow. 50 r.ż.'!B3:G28,MATCH(11,B4:B29,0),2)</f>
        <v>572</v>
      </c>
      <c r="E14" s="61">
        <f>INDEX('8pow. 50 r.ż.'!B3:G28,MATCH(11,B4:B29,0),3)</f>
        <v>567</v>
      </c>
      <c r="F14" s="6">
        <f>INDEX('8pow. 50 r.ż.'!B3:G28,MATCH(11,B4:B29,0),4)</f>
        <v>5</v>
      </c>
      <c r="G14" s="61">
        <f>INDEX('8pow. 50 r.ż.'!B3:G28,MATCH(11,B4:B29,0),5)</f>
        <v>656</v>
      </c>
      <c r="H14" s="6">
        <f>INDEX('8pow. 50 r.ż.'!B3:G28,MATCH(11,B4:B29,0),6)</f>
        <v>-84</v>
      </c>
    </row>
    <row r="15" spans="2:8" x14ac:dyDescent="0.2">
      <c r="B15" s="6">
        <f>RANK('8pow. 50 r.ż.'!C14,'8pow. 50 r.ż.'!$C$3:'8pow. 50 r.ż.'!$C$28,1)+COUNTIF('8pow. 50 r.ż.'!$C$3:'8pow. 50 r.ż.'!C14,'8pow. 50 r.ż.'!C14)-1</f>
        <v>19</v>
      </c>
      <c r="C15" s="5" t="str">
        <f>INDEX('8pow. 50 r.ż.'!B3:G28,MATCH(12,B4:B29,0),1)</f>
        <v>łańcucki</v>
      </c>
      <c r="D15" s="6">
        <f>INDEX('8pow. 50 r.ż.'!B3:G28,MATCH(12,B4:B29,0),2)</f>
        <v>579</v>
      </c>
      <c r="E15" s="61">
        <f>INDEX('8pow. 50 r.ż.'!B3:G28,MATCH(12,B4:B29,0),3)</f>
        <v>562</v>
      </c>
      <c r="F15" s="6">
        <f>INDEX('8pow. 50 r.ż.'!B3:G28,MATCH(12,B4:B29,0),4)</f>
        <v>17</v>
      </c>
      <c r="G15" s="61">
        <f>INDEX('8pow. 50 r.ż.'!B3:G28,MATCH(12,B4:B29,0),5)</f>
        <v>681</v>
      </c>
      <c r="H15" s="6">
        <f>INDEX('8pow. 50 r.ż.'!B3:G28,MATCH(12,B4:B29,0),6)</f>
        <v>-102</v>
      </c>
    </row>
    <row r="16" spans="2:8" x14ac:dyDescent="0.2">
      <c r="B16" s="6">
        <f>RANK('8pow. 50 r.ż.'!C15,'8pow. 50 r.ż.'!$C$3:'8pow. 50 r.ż.'!$C$28,1)+COUNTIF('8pow. 50 r.ż.'!$C$3:'8pow. 50 r.ż.'!C15,'8pow. 50 r.ż.'!C15)-1</f>
        <v>20</v>
      </c>
      <c r="C16" s="5" t="str">
        <f>INDEX('8pow. 50 r.ż.'!B3:G28,MATCH(13,B4:B29,0),1)</f>
        <v>sanocki</v>
      </c>
      <c r="D16" s="6">
        <f>INDEX('8pow. 50 r.ż.'!B3:G28,MATCH(13,B4:B29,0),2)</f>
        <v>621</v>
      </c>
      <c r="E16" s="61">
        <f>INDEX('8pow. 50 r.ż.'!B3:G28,MATCH(13,B4:B29,0),3)</f>
        <v>617</v>
      </c>
      <c r="F16" s="6">
        <f>INDEX('8pow. 50 r.ż.'!B3:G28,MATCH(13,B4:B29,0),4)</f>
        <v>4</v>
      </c>
      <c r="G16" s="61">
        <f>INDEX('8pow. 50 r.ż.'!B3:G28,MATCH(13,B4:B29,0),5)</f>
        <v>591</v>
      </c>
      <c r="H16" s="6">
        <f>INDEX('8pow. 50 r.ż.'!B3:G28,MATCH(13,B4:B29,0),6)</f>
        <v>30</v>
      </c>
    </row>
    <row r="17" spans="2:8" x14ac:dyDescent="0.2">
      <c r="B17" s="6">
        <f>RANK('8pow. 50 r.ż.'!C16,'8pow. 50 r.ż.'!$C$3:'8pow. 50 r.ż.'!$C$28,1)+COUNTIF('8pow. 50 r.ż.'!$C$3:'8pow. 50 r.ż.'!C16,'8pow. 50 r.ż.'!C16)-1</f>
        <v>15</v>
      </c>
      <c r="C17" s="5" t="str">
        <f>INDEX('8pow. 50 r.ż.'!B3:G28,MATCH(14,B4:B29,0),1)</f>
        <v>przeworski</v>
      </c>
      <c r="D17" s="6">
        <f>INDEX('8pow. 50 r.ż.'!B3:G28,MATCH(14,B4:B29,0),2)</f>
        <v>669</v>
      </c>
      <c r="E17" s="61">
        <f>INDEX('8pow. 50 r.ż.'!B3:G28,MATCH(14,B4:B29,0),3)</f>
        <v>657</v>
      </c>
      <c r="F17" s="6">
        <f>INDEX('8pow. 50 r.ż.'!B3:G28,MATCH(14,B4:B29,0),4)</f>
        <v>12</v>
      </c>
      <c r="G17" s="61">
        <f>INDEX('8pow. 50 r.ż.'!B3:G28,MATCH(14,B4:B29,0),5)</f>
        <v>710</v>
      </c>
      <c r="H17" s="6">
        <f>INDEX('8pow. 50 r.ż.'!B3:G28,MATCH(14,B4:B29,0),6)</f>
        <v>-41</v>
      </c>
    </row>
    <row r="18" spans="2:8" x14ac:dyDescent="0.2">
      <c r="B18" s="6">
        <f>RANK('8pow. 50 r.ż.'!C17,'8pow. 50 r.ż.'!$C$3:'8pow. 50 r.ż.'!$C$28,1)+COUNTIF('8pow. 50 r.ż.'!$C$3:'8pow. 50 r.ż.'!C17,'8pow. 50 r.ż.'!C17)-1</f>
        <v>14</v>
      </c>
      <c r="C18" s="5" t="str">
        <f>INDEX('8pow. 50 r.ż.'!B3:G28,MATCH(15,B4:B29,0),1)</f>
        <v>przemyski</v>
      </c>
      <c r="D18" s="6">
        <f>INDEX('8pow. 50 r.ż.'!B3:G28,MATCH(15,B4:B29,0),2)</f>
        <v>679</v>
      </c>
      <c r="E18" s="61">
        <f>INDEX('8pow. 50 r.ż.'!B3:G28,MATCH(15,B4:B29,0),3)</f>
        <v>697</v>
      </c>
      <c r="F18" s="6">
        <f>INDEX('8pow. 50 r.ż.'!B3:G28,MATCH(15,B4:B29,0),4)</f>
        <v>-18</v>
      </c>
      <c r="G18" s="61">
        <f>INDEX('8pow. 50 r.ż.'!B3:G28,MATCH(15,B4:B29,0),5)</f>
        <v>718</v>
      </c>
      <c r="H18" s="6">
        <f>INDEX('8pow. 50 r.ż.'!B3:G28,MATCH(15,B4:B29,0),6)</f>
        <v>-39</v>
      </c>
    </row>
    <row r="19" spans="2:8" x14ac:dyDescent="0.2">
      <c r="B19" s="6">
        <f>RANK('8pow. 50 r.ż.'!C18,'8pow. 50 r.ż.'!$C$3:'8pow. 50 r.ż.'!$C$28,1)+COUNTIF('8pow. 50 r.ż.'!$C$3:'8pow. 50 r.ż.'!C18,'8pow. 50 r.ż.'!C18)-1</f>
        <v>11</v>
      </c>
      <c r="C19" s="5" t="str">
        <f>INDEX('8pow. 50 r.ż.'!B3:G28,MATCH(16,B4:B29,0),1)</f>
        <v>leżajski</v>
      </c>
      <c r="D19" s="6">
        <f>INDEX('8pow. 50 r.ż.'!B3:G28,MATCH(16,B4:B29,0),2)</f>
        <v>684</v>
      </c>
      <c r="E19" s="61">
        <f>INDEX('8pow. 50 r.ż.'!B3:G28,MATCH(16,B4:B29,0),3)</f>
        <v>660</v>
      </c>
      <c r="F19" s="6">
        <f>INDEX('8pow. 50 r.ż.'!B3:G28,MATCH(16,B4:B29,0),4)</f>
        <v>24</v>
      </c>
      <c r="G19" s="61">
        <f>INDEX('8pow. 50 r.ż.'!B3:G28,MATCH(16,B4:B29,0),5)</f>
        <v>721</v>
      </c>
      <c r="H19" s="6">
        <f>INDEX('8pow. 50 r.ż.'!B3:G28,MATCH(16,B4:B29,0),6)</f>
        <v>-37</v>
      </c>
    </row>
    <row r="20" spans="2:8" x14ac:dyDescent="0.2">
      <c r="B20" s="6">
        <f>RANK('8pow. 50 r.ż.'!C19,'8pow. 50 r.ż.'!$C$3:'8pow. 50 r.ż.'!$C$28,1)+COUNTIF('8pow. 50 r.ż.'!$C$3:'8pow. 50 r.ż.'!C19,'8pow. 50 r.ż.'!C19)-1</f>
        <v>24</v>
      </c>
      <c r="C20" s="5" t="str">
        <f>INDEX('8pow. 50 r.ż.'!B3:G28,MATCH(17,B4:B29,0),1)</f>
        <v>Przemyśl</v>
      </c>
      <c r="D20" s="6">
        <f>INDEX('8pow. 50 r.ż.'!B3:G28,MATCH(17,B4:B29,0),2)</f>
        <v>701</v>
      </c>
      <c r="E20" s="61">
        <f>INDEX('8pow. 50 r.ż.'!B3:G28,MATCH(17,B4:B29,0),3)</f>
        <v>723</v>
      </c>
      <c r="F20" s="6">
        <f>INDEX('8pow. 50 r.ż.'!B3:G28,MATCH(17,B4:B29,0),4)</f>
        <v>-22</v>
      </c>
      <c r="G20" s="61">
        <f>INDEX('8pow. 50 r.ż.'!B3:G28,MATCH(17,B4:B29,0),5)</f>
        <v>750</v>
      </c>
      <c r="H20" s="6">
        <f>INDEX('8pow. 50 r.ż.'!B3:G28,MATCH(17,B4:B29,0),6)</f>
        <v>-49</v>
      </c>
    </row>
    <row r="21" spans="2:8" x14ac:dyDescent="0.2">
      <c r="B21" s="6">
        <f>RANK('8pow. 50 r.ż.'!C20,'8pow. 50 r.ż.'!$C$3:'8pow. 50 r.ż.'!$C$28,1)+COUNTIF('8pow. 50 r.ż.'!$C$3:'8pow. 50 r.ż.'!C20,'8pow. 50 r.ż.'!C20)-1</f>
        <v>13</v>
      </c>
      <c r="C21" s="5" t="str">
        <f>INDEX('8pow. 50 r.ż.'!B3:G28,MATCH(18,B4:B29,0),1)</f>
        <v>strzyżowski</v>
      </c>
      <c r="D21" s="6">
        <f>INDEX('8pow. 50 r.ż.'!B3:G28,MATCH(18,B4:B29,0),2)</f>
        <v>720</v>
      </c>
      <c r="E21" s="61">
        <f>INDEX('8pow. 50 r.ż.'!B3:G28,MATCH(18,B4:B29,0),3)</f>
        <v>725</v>
      </c>
      <c r="F21" s="6">
        <f>INDEX('8pow. 50 r.ż.'!B3:G28,MATCH(18,B4:B29,0),4)</f>
        <v>-5</v>
      </c>
      <c r="G21" s="61">
        <f>INDEX('8pow. 50 r.ż.'!B3:G28,MATCH(18,B4:B29,0),5)</f>
        <v>758</v>
      </c>
      <c r="H21" s="6">
        <f>INDEX('8pow. 50 r.ż.'!B3:G28,MATCH(18,B4:B29,0),6)</f>
        <v>-38</v>
      </c>
    </row>
    <row r="22" spans="2:8" x14ac:dyDescent="0.2">
      <c r="B22" s="6">
        <f>RANK('8pow. 50 r.ż.'!C21,'8pow. 50 r.ż.'!$C$3:'8pow. 50 r.ż.'!$C$28,1)+COUNTIF('8pow. 50 r.ż.'!$C$3:'8pow. 50 r.ż.'!C21,'8pow. 50 r.ż.'!C21)-1</f>
        <v>8</v>
      </c>
      <c r="C22" s="5" t="str">
        <f>INDEX('8pow. 50 r.ż.'!B3:G28,MATCH(19,B4:B29,0),1)</f>
        <v>mielecki</v>
      </c>
      <c r="D22" s="6">
        <f>INDEX('8pow. 50 r.ż.'!B3:G28,MATCH(19,B4:B29,0),2)</f>
        <v>731</v>
      </c>
      <c r="E22" s="61">
        <f>INDEX('8pow. 50 r.ż.'!B3:G28,MATCH(19,B4:B29,0),3)</f>
        <v>705</v>
      </c>
      <c r="F22" s="6">
        <f>INDEX('8pow. 50 r.ż.'!B3:G28,MATCH(19,B4:B29,0),4)</f>
        <v>26</v>
      </c>
      <c r="G22" s="61">
        <f>INDEX('8pow. 50 r.ż.'!B3:G28,MATCH(19,B4:B29,0),5)</f>
        <v>694</v>
      </c>
      <c r="H22" s="6">
        <f>INDEX('8pow. 50 r.ż.'!B3:G28,MATCH(19,B4:B29,0),6)</f>
        <v>37</v>
      </c>
    </row>
    <row r="23" spans="2:8" x14ac:dyDescent="0.2">
      <c r="B23" s="6">
        <f>RANK('8pow. 50 r.ż.'!C22,'8pow. 50 r.ż.'!$C$3:'8pow. 50 r.ż.'!$C$28,1)+COUNTIF('8pow. 50 r.ż.'!$C$3:'8pow. 50 r.ż.'!C22,'8pow. 50 r.ż.'!C22)-1</f>
        <v>18</v>
      </c>
      <c r="C23" s="5" t="str">
        <f>INDEX('8pow. 50 r.ż.'!B3:G28,MATCH(20,B4:B29,0),1)</f>
        <v>niżański</v>
      </c>
      <c r="D23" s="6">
        <f>INDEX('8pow. 50 r.ż.'!B3:G28,MATCH(20,B4:B29,0),2)</f>
        <v>738</v>
      </c>
      <c r="E23" s="61">
        <f>INDEX('8pow. 50 r.ż.'!B3:G28,MATCH(20,B4:B29,0),3)</f>
        <v>738</v>
      </c>
      <c r="F23" s="6">
        <f>INDEX('8pow. 50 r.ż.'!B3:G28,MATCH(20,B4:B29,0),4)</f>
        <v>0</v>
      </c>
      <c r="G23" s="61">
        <f>INDEX('8pow. 50 r.ż.'!B3:G28,MATCH(20,B4:B29,0),5)</f>
        <v>779</v>
      </c>
      <c r="H23" s="6">
        <f>INDEX('8pow. 50 r.ż.'!B3:G28,MATCH(20,B4:B29,0),6)</f>
        <v>-41</v>
      </c>
    </row>
    <row r="24" spans="2:8" x14ac:dyDescent="0.2">
      <c r="B24" s="6">
        <f>RANK('8pow. 50 r.ż.'!C23,'8pow. 50 r.ż.'!$C$3:'8pow. 50 r.ż.'!$C$28,1)+COUNTIF('8pow. 50 r.ż.'!$C$3:'8pow. 50 r.ż.'!C23,'8pow. 50 r.ż.'!C23)-1</f>
        <v>4</v>
      </c>
      <c r="C24" s="5" t="str">
        <f>INDEX('8pow. 50 r.ż.'!B3:G28,MATCH(21,B4:B29,0),1)</f>
        <v>brzozowski</v>
      </c>
      <c r="D24" s="6">
        <f>INDEX('8pow. 50 r.ż.'!B3:G28,MATCH(21,B4:B29,0),2)</f>
        <v>918</v>
      </c>
      <c r="E24" s="61">
        <f>INDEX('8pow. 50 r.ż.'!B3:G28,MATCH(21,B4:B29,0),3)</f>
        <v>906</v>
      </c>
      <c r="F24" s="6">
        <f>INDEX('8pow. 50 r.ż.'!B3:G28,MATCH(21,B4:B29,0),4)</f>
        <v>12</v>
      </c>
      <c r="G24" s="61">
        <f>INDEX('8pow. 50 r.ż.'!B3:G28,MATCH(21,B4:B29,0),5)</f>
        <v>997</v>
      </c>
      <c r="H24" s="6">
        <f>INDEX('8pow. 50 r.ż.'!B3:G28,MATCH(21,B4:B29,0),6)</f>
        <v>-79</v>
      </c>
    </row>
    <row r="25" spans="2:8" x14ac:dyDescent="0.2">
      <c r="B25" s="6">
        <f>RANK('8pow. 50 r.ż.'!C24,'8pow. 50 r.ż.'!$C$3:'8pow. 50 r.ż.'!$C$28,1)+COUNTIF('8pow. 50 r.ż.'!$C$3:'8pow. 50 r.ż.'!C24,'8pow. 50 r.ż.'!C24)-1</f>
        <v>1</v>
      </c>
      <c r="C25" s="5" t="str">
        <f>INDEX('8pow. 50 r.ż.'!B3:G28,MATCH(22,B4:B29,0),1)</f>
        <v>jarosławski</v>
      </c>
      <c r="D25" s="6">
        <f>INDEX('8pow. 50 r.ż.'!B3:G28,MATCH(22,B4:B29,0),2)</f>
        <v>1066</v>
      </c>
      <c r="E25" s="61">
        <f>INDEX('8pow. 50 r.ż.'!B3:G28,MATCH(22,B4:B29,0),3)</f>
        <v>1046</v>
      </c>
      <c r="F25" s="6">
        <f>INDEX('8pow. 50 r.ż.'!B3:G28,MATCH(22,B4:B29,0),4)</f>
        <v>20</v>
      </c>
      <c r="G25" s="61">
        <f>INDEX('8pow. 50 r.ż.'!B3:G28,MATCH(22,B4:B29,0),5)</f>
        <v>1118</v>
      </c>
      <c r="H25" s="6">
        <f>INDEX('8pow. 50 r.ż.'!B3:G28,MATCH(22,B4:B29,0),6)</f>
        <v>-52</v>
      </c>
    </row>
    <row r="26" spans="2:8" x14ac:dyDescent="0.2">
      <c r="B26" s="6">
        <f>RANK('8pow. 50 r.ż.'!C25,'8pow. 50 r.ż.'!$C$3:'8pow. 50 r.ż.'!$C$28,1)+COUNTIF('8pow. 50 r.ż.'!$C$3:'8pow. 50 r.ż.'!C25,'8pow. 50 r.ż.'!C25)-1</f>
        <v>17</v>
      </c>
      <c r="C26" s="5" t="str">
        <f>INDEX('8pow. 50 r.ż.'!B3:G28,MATCH(23,B4:B29,0),1)</f>
        <v>jasielski</v>
      </c>
      <c r="D26" s="6">
        <f>INDEX('8pow. 50 r.ż.'!B3:G28,MATCH(23,B4:B29,0),2)</f>
        <v>1097</v>
      </c>
      <c r="E26" s="61">
        <f>INDEX('8pow. 50 r.ż.'!B3:G28,MATCH(23,B4:B29,0),3)</f>
        <v>1092</v>
      </c>
      <c r="F26" s="6">
        <f>INDEX('8pow. 50 r.ż.'!B3:G28,MATCH(23,B4:B29,0),4)</f>
        <v>5</v>
      </c>
      <c r="G26" s="61">
        <f>INDEX('8pow. 50 r.ż.'!B3:G28,MATCH(23,B4:B29,0),5)</f>
        <v>1116</v>
      </c>
      <c r="H26" s="6">
        <f>INDEX('8pow. 50 r.ż.'!B3:G28,MATCH(23,B4:B29,0),6)</f>
        <v>-19</v>
      </c>
    </row>
    <row r="27" spans="2:8" x14ac:dyDescent="0.2">
      <c r="B27" s="6">
        <f>RANK('8pow. 50 r.ż.'!C26,'8pow. 50 r.ż.'!$C$3:'8pow. 50 r.ż.'!$C$28,1)+COUNTIF('8pow. 50 r.ż.'!$C$3:'8pow. 50 r.ż.'!C26,'8pow. 50 r.ż.'!C26)-1</f>
        <v>25</v>
      </c>
      <c r="C27" s="5" t="str">
        <f>INDEX('8pow. 50 r.ż.'!B3:G28,MATCH(24,B4:B29,0),1)</f>
        <v>rzeszowski</v>
      </c>
      <c r="D27" s="6">
        <f>INDEX('8pow. 50 r.ż.'!B3:G28,MATCH(24,B4:B29,0),2)</f>
        <v>1125</v>
      </c>
      <c r="E27" s="61">
        <f>INDEX('8pow. 50 r.ż.'!B3:G28,MATCH(24,B4:B29,0),3)</f>
        <v>1130</v>
      </c>
      <c r="F27" s="6">
        <f>INDEX('8pow. 50 r.ż.'!B3:G28,MATCH(24,B4:B29,0),4)</f>
        <v>-5</v>
      </c>
      <c r="G27" s="61">
        <f>INDEX('8pow. 50 r.ż.'!B3:G28,MATCH(24,B4:B29,0),5)</f>
        <v>1219</v>
      </c>
      <c r="H27" s="6">
        <f>INDEX('8pow. 50 r.ż.'!B3:G28,MATCH(24,B4:B29,0),6)</f>
        <v>-94</v>
      </c>
    </row>
    <row r="28" spans="2:8" x14ac:dyDescent="0.2">
      <c r="B28" s="6">
        <f>RANK('8pow. 50 r.ż.'!C27,'8pow. 50 r.ż.'!$C$3:'8pow. 50 r.ż.'!$C$28,1)+COUNTIF('8pow. 50 r.ż.'!$C$3:'8pow. 50 r.ż.'!C27,'8pow. 50 r.ż.'!C27)-1</f>
        <v>3</v>
      </c>
      <c r="C28" s="5" t="str">
        <f>INDEX('8pow. 50 r.ż.'!B3:G28,MATCH(25,B4:B29,0),1)</f>
        <v>Rzeszów</v>
      </c>
      <c r="D28" s="6">
        <f>INDEX('8pow. 50 r.ż.'!B3:G28,MATCH(25,B4:B29,0),2)</f>
        <v>1399</v>
      </c>
      <c r="E28" s="61">
        <f>INDEX('8pow. 50 r.ż.'!B3:G28,MATCH(25,B4:B29,0),3)</f>
        <v>1413</v>
      </c>
      <c r="F28" s="6">
        <f>INDEX('8pow. 50 r.ż.'!B3:G28,MATCH(25,B4:B29,0),4)</f>
        <v>-14</v>
      </c>
      <c r="G28" s="61">
        <f>INDEX('8pow. 50 r.ż.'!B3:G28,MATCH(25,B4:B29,0),5)</f>
        <v>1571</v>
      </c>
      <c r="H28" s="6">
        <f>INDEX('8pow. 50 r.ż.'!B3:G28,MATCH(25,B4:B29,0),6)</f>
        <v>-172</v>
      </c>
    </row>
    <row r="29" spans="2:8" ht="15" x14ac:dyDescent="0.25">
      <c r="B29" s="59">
        <f>RANK('8pow. 50 r.ż.'!C28,'8pow. 50 r.ż.'!$C$3:'8pow. 50 r.ż.'!$C$28,1)+COUNTIF('8pow. 50 r.ż.'!$C$3:'8pow. 50 r.ż.'!C28,'8pow. 50 r.ż.'!C28)-1</f>
        <v>26</v>
      </c>
      <c r="C29" s="58" t="str">
        <f>INDEX('8pow. 50 r.ż.'!B3:G28,MATCH(26,B4:B29,0),1)</f>
        <v>województwo</v>
      </c>
      <c r="D29" s="59">
        <f>INDEX('8pow. 50 r.ż.'!B3:G28,MATCH(26,B4:B29,0),2)</f>
        <v>16209</v>
      </c>
      <c r="E29" s="63">
        <f>INDEX('8pow. 50 r.ż.'!B3:G28,MATCH(26,B4:B29,0),3)</f>
        <v>16174</v>
      </c>
      <c r="F29" s="59">
        <f>INDEX('8pow. 50 r.ż.'!B3:G28,MATCH(26,B4:B29,0),4)</f>
        <v>35</v>
      </c>
      <c r="G29" s="63">
        <f>INDEX('8pow. 50 r.ż.'!B3:G28,MATCH(26,B4:B29,0),5)</f>
        <v>17163</v>
      </c>
      <c r="H29" s="59">
        <f>INDEX('8pow. 50 r.ż.'!B3:G28,MATCH(26,B4:B29,0),6)</f>
        <v>-954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7.28515625" style="3" customWidth="1"/>
    <col min="6" max="6" width="11.28515625" style="3" customWidth="1"/>
    <col min="7" max="7" width="17.140625" style="3" customWidth="1"/>
    <col min="8" max="8" width="3.85546875" style="3" customWidth="1"/>
    <col min="9" max="16384" width="9.140625" style="3"/>
  </cols>
  <sheetData>
    <row r="1" spans="2:8" ht="20.25" customHeight="1" x14ac:dyDescent="0.2">
      <c r="B1" s="1" t="s">
        <v>30</v>
      </c>
      <c r="C1" s="42"/>
      <c r="D1" s="42"/>
      <c r="E1" s="42"/>
      <c r="F1" s="42"/>
      <c r="G1" s="42"/>
    </row>
    <row r="2" spans="2:8" ht="57" x14ac:dyDescent="0.2">
      <c r="B2" s="55" t="s">
        <v>27</v>
      </c>
      <c r="C2" s="56" t="s">
        <v>145</v>
      </c>
      <c r="D2" s="57" t="s">
        <v>125</v>
      </c>
      <c r="E2" s="56" t="s">
        <v>28</v>
      </c>
      <c r="F2" s="57" t="s">
        <v>144</v>
      </c>
      <c r="G2" s="56" t="s">
        <v>26</v>
      </c>
    </row>
    <row r="3" spans="2:8" x14ac:dyDescent="0.2">
      <c r="B3" s="5" t="s">
        <v>0</v>
      </c>
      <c r="C3" s="45">
        <v>25</v>
      </c>
      <c r="D3" s="61">
        <v>45</v>
      </c>
      <c r="E3" s="45">
        <f t="shared" ref="E3:E27" si="0">SUM(C3)-D3</f>
        <v>-20</v>
      </c>
      <c r="F3" s="61">
        <v>36</v>
      </c>
      <c r="G3" s="45">
        <f t="shared" ref="G3:G27" si="1">SUM(C3)-F3</f>
        <v>-11</v>
      </c>
      <c r="H3" s="7"/>
    </row>
    <row r="4" spans="2:8" x14ac:dyDescent="0.2">
      <c r="B4" s="5" t="s">
        <v>1</v>
      </c>
      <c r="C4" s="45">
        <v>56</v>
      </c>
      <c r="D4" s="61">
        <v>76</v>
      </c>
      <c r="E4" s="45">
        <f t="shared" si="0"/>
        <v>-20</v>
      </c>
      <c r="F4" s="61">
        <v>70</v>
      </c>
      <c r="G4" s="45">
        <f t="shared" si="1"/>
        <v>-14</v>
      </c>
      <c r="H4" s="7"/>
    </row>
    <row r="5" spans="2:8" x14ac:dyDescent="0.2">
      <c r="B5" s="5" t="s">
        <v>2</v>
      </c>
      <c r="C5" s="45">
        <v>220</v>
      </c>
      <c r="D5" s="61">
        <v>237</v>
      </c>
      <c r="E5" s="45">
        <f t="shared" si="0"/>
        <v>-17</v>
      </c>
      <c r="F5" s="61">
        <v>360</v>
      </c>
      <c r="G5" s="45">
        <f t="shared" si="1"/>
        <v>-140</v>
      </c>
      <c r="H5" s="7"/>
    </row>
    <row r="6" spans="2:8" x14ac:dyDescent="0.2">
      <c r="B6" s="5" t="s">
        <v>3</v>
      </c>
      <c r="C6" s="45">
        <v>273</v>
      </c>
      <c r="D6" s="61">
        <v>308</v>
      </c>
      <c r="E6" s="45">
        <f t="shared" si="0"/>
        <v>-35</v>
      </c>
      <c r="F6" s="61">
        <v>173</v>
      </c>
      <c r="G6" s="45">
        <f t="shared" si="1"/>
        <v>100</v>
      </c>
      <c r="H6" s="7"/>
    </row>
    <row r="7" spans="2:8" x14ac:dyDescent="0.2">
      <c r="B7" s="5" t="s">
        <v>4</v>
      </c>
      <c r="C7" s="45">
        <v>191</v>
      </c>
      <c r="D7" s="61">
        <v>217</v>
      </c>
      <c r="E7" s="45">
        <f t="shared" si="0"/>
        <v>-26</v>
      </c>
      <c r="F7" s="61">
        <v>178</v>
      </c>
      <c r="G7" s="45">
        <f t="shared" si="1"/>
        <v>13</v>
      </c>
      <c r="H7" s="7"/>
    </row>
    <row r="8" spans="2:8" x14ac:dyDescent="0.2">
      <c r="B8" s="5" t="s">
        <v>5</v>
      </c>
      <c r="C8" s="45">
        <v>90</v>
      </c>
      <c r="D8" s="61">
        <v>86</v>
      </c>
      <c r="E8" s="45">
        <f t="shared" si="0"/>
        <v>4</v>
      </c>
      <c r="F8" s="61">
        <v>125</v>
      </c>
      <c r="G8" s="45">
        <f t="shared" si="1"/>
        <v>-35</v>
      </c>
      <c r="H8" s="7"/>
    </row>
    <row r="9" spans="2:8" x14ac:dyDescent="0.2">
      <c r="B9" s="9" t="s">
        <v>6</v>
      </c>
      <c r="C9" s="45">
        <v>131</v>
      </c>
      <c r="D9" s="61">
        <v>92</v>
      </c>
      <c r="E9" s="45">
        <f t="shared" si="0"/>
        <v>39</v>
      </c>
      <c r="F9" s="61">
        <v>58</v>
      </c>
      <c r="G9" s="45">
        <f t="shared" si="1"/>
        <v>73</v>
      </c>
      <c r="H9" s="7"/>
    </row>
    <row r="10" spans="2:8" x14ac:dyDescent="0.2">
      <c r="B10" s="5" t="s">
        <v>7</v>
      </c>
      <c r="C10" s="45">
        <v>23</v>
      </c>
      <c r="D10" s="61">
        <v>66</v>
      </c>
      <c r="E10" s="45">
        <f t="shared" si="0"/>
        <v>-43</v>
      </c>
      <c r="F10" s="61">
        <v>22</v>
      </c>
      <c r="G10" s="45">
        <f t="shared" si="1"/>
        <v>1</v>
      </c>
      <c r="H10" s="7"/>
    </row>
    <row r="11" spans="2:8" x14ac:dyDescent="0.2">
      <c r="B11" s="5" t="s">
        <v>8</v>
      </c>
      <c r="C11" s="45">
        <v>59</v>
      </c>
      <c r="D11" s="61">
        <v>103</v>
      </c>
      <c r="E11" s="45">
        <f t="shared" si="0"/>
        <v>-44</v>
      </c>
      <c r="F11" s="61">
        <v>104</v>
      </c>
      <c r="G11" s="45">
        <f t="shared" si="1"/>
        <v>-45</v>
      </c>
      <c r="H11" s="7"/>
    </row>
    <row r="12" spans="2:8" x14ac:dyDescent="0.2">
      <c r="B12" s="5" t="s">
        <v>9</v>
      </c>
      <c r="C12" s="45">
        <v>111</v>
      </c>
      <c r="D12" s="61">
        <v>69</v>
      </c>
      <c r="E12" s="45">
        <f t="shared" si="0"/>
        <v>42</v>
      </c>
      <c r="F12" s="61">
        <v>55</v>
      </c>
      <c r="G12" s="45">
        <f t="shared" si="1"/>
        <v>56</v>
      </c>
      <c r="H12" s="7"/>
    </row>
    <row r="13" spans="2:8" x14ac:dyDescent="0.2">
      <c r="B13" s="5" t="s">
        <v>10</v>
      </c>
      <c r="C13" s="45">
        <v>58</v>
      </c>
      <c r="D13" s="61">
        <v>81</v>
      </c>
      <c r="E13" s="45">
        <f t="shared" si="0"/>
        <v>-23</v>
      </c>
      <c r="F13" s="61">
        <v>83</v>
      </c>
      <c r="G13" s="45">
        <f t="shared" si="1"/>
        <v>-25</v>
      </c>
      <c r="H13" s="7"/>
    </row>
    <row r="14" spans="2:8" x14ac:dyDescent="0.2">
      <c r="B14" s="5" t="s">
        <v>11</v>
      </c>
      <c r="C14" s="45">
        <v>271</v>
      </c>
      <c r="D14" s="61">
        <v>322</v>
      </c>
      <c r="E14" s="45">
        <f t="shared" si="0"/>
        <v>-51</v>
      </c>
      <c r="F14" s="61">
        <v>419</v>
      </c>
      <c r="G14" s="45">
        <f t="shared" si="1"/>
        <v>-148</v>
      </c>
      <c r="H14" s="7"/>
    </row>
    <row r="15" spans="2:8" x14ac:dyDescent="0.2">
      <c r="B15" s="5" t="s">
        <v>12</v>
      </c>
      <c r="C15" s="45">
        <v>105</v>
      </c>
      <c r="D15" s="61">
        <v>112</v>
      </c>
      <c r="E15" s="45">
        <f t="shared" si="0"/>
        <v>-7</v>
      </c>
      <c r="F15" s="61">
        <v>87</v>
      </c>
      <c r="G15" s="45">
        <f t="shared" si="1"/>
        <v>18</v>
      </c>
      <c r="H15" s="7"/>
    </row>
    <row r="16" spans="2:8" x14ac:dyDescent="0.2">
      <c r="B16" s="5" t="s">
        <v>13</v>
      </c>
      <c r="C16" s="45">
        <v>21</v>
      </c>
      <c r="D16" s="61">
        <v>55</v>
      </c>
      <c r="E16" s="45">
        <f t="shared" si="0"/>
        <v>-34</v>
      </c>
      <c r="F16" s="61">
        <v>30</v>
      </c>
      <c r="G16" s="45">
        <f t="shared" si="1"/>
        <v>-9</v>
      </c>
      <c r="H16" s="7"/>
    </row>
    <row r="17" spans="2:8" x14ac:dyDescent="0.2">
      <c r="B17" s="5" t="s">
        <v>14</v>
      </c>
      <c r="C17" s="45">
        <v>282</v>
      </c>
      <c r="D17" s="61">
        <v>310</v>
      </c>
      <c r="E17" s="45">
        <f t="shared" si="0"/>
        <v>-28</v>
      </c>
      <c r="F17" s="61">
        <v>178</v>
      </c>
      <c r="G17" s="45">
        <f t="shared" si="1"/>
        <v>104</v>
      </c>
      <c r="H17" s="7"/>
    </row>
    <row r="18" spans="2:8" x14ac:dyDescent="0.2">
      <c r="B18" s="5" t="s">
        <v>15</v>
      </c>
      <c r="C18" s="45">
        <v>83</v>
      </c>
      <c r="D18" s="61">
        <v>166</v>
      </c>
      <c r="E18" s="45">
        <f t="shared" si="0"/>
        <v>-83</v>
      </c>
      <c r="F18" s="61">
        <v>159</v>
      </c>
      <c r="G18" s="45">
        <f t="shared" si="1"/>
        <v>-76</v>
      </c>
      <c r="H18" s="7"/>
    </row>
    <row r="19" spans="2:8" x14ac:dyDescent="0.2">
      <c r="B19" s="5" t="s">
        <v>16</v>
      </c>
      <c r="C19" s="45">
        <v>155</v>
      </c>
      <c r="D19" s="61">
        <v>183</v>
      </c>
      <c r="E19" s="45">
        <f t="shared" si="0"/>
        <v>-28</v>
      </c>
      <c r="F19" s="61">
        <v>183</v>
      </c>
      <c r="G19" s="45">
        <f t="shared" si="1"/>
        <v>-28</v>
      </c>
      <c r="H19" s="7"/>
    </row>
    <row r="20" spans="2:8" x14ac:dyDescent="0.2">
      <c r="B20" s="5" t="s">
        <v>17</v>
      </c>
      <c r="C20" s="45">
        <v>90</v>
      </c>
      <c r="D20" s="61">
        <v>135</v>
      </c>
      <c r="E20" s="45">
        <f t="shared" si="0"/>
        <v>-45</v>
      </c>
      <c r="F20" s="61">
        <v>96</v>
      </c>
      <c r="G20" s="45">
        <f t="shared" si="1"/>
        <v>-6</v>
      </c>
      <c r="H20" s="7"/>
    </row>
    <row r="21" spans="2:8" x14ac:dyDescent="0.2">
      <c r="B21" s="5" t="s">
        <v>18</v>
      </c>
      <c r="C21" s="45">
        <v>96</v>
      </c>
      <c r="D21" s="61">
        <v>142</v>
      </c>
      <c r="E21" s="45">
        <f t="shared" si="0"/>
        <v>-46</v>
      </c>
      <c r="F21" s="61">
        <v>143</v>
      </c>
      <c r="G21" s="45">
        <f t="shared" si="1"/>
        <v>-47</v>
      </c>
      <c r="H21" s="7"/>
    </row>
    <row r="22" spans="2:8" x14ac:dyDescent="0.2">
      <c r="B22" s="5" t="s">
        <v>19</v>
      </c>
      <c r="C22" s="45">
        <v>144</v>
      </c>
      <c r="D22" s="61">
        <v>152</v>
      </c>
      <c r="E22" s="45">
        <f t="shared" si="0"/>
        <v>-8</v>
      </c>
      <c r="F22" s="61">
        <v>179</v>
      </c>
      <c r="G22" s="45">
        <f t="shared" si="1"/>
        <v>-35</v>
      </c>
      <c r="H22" s="7"/>
    </row>
    <row r="23" spans="2:8" x14ac:dyDescent="0.2">
      <c r="B23" s="5" t="s">
        <v>20</v>
      </c>
      <c r="C23" s="45">
        <v>91</v>
      </c>
      <c r="D23" s="61">
        <v>108</v>
      </c>
      <c r="E23" s="45">
        <f t="shared" si="0"/>
        <v>-17</v>
      </c>
      <c r="F23" s="61">
        <v>195</v>
      </c>
      <c r="G23" s="45">
        <f t="shared" si="1"/>
        <v>-104</v>
      </c>
      <c r="H23" s="7"/>
    </row>
    <row r="24" spans="2:8" x14ac:dyDescent="0.2">
      <c r="B24" s="5" t="s">
        <v>21</v>
      </c>
      <c r="C24" s="45">
        <v>72</v>
      </c>
      <c r="D24" s="61">
        <v>73</v>
      </c>
      <c r="E24" s="45">
        <f t="shared" si="0"/>
        <v>-1</v>
      </c>
      <c r="F24" s="61">
        <v>66</v>
      </c>
      <c r="G24" s="45">
        <f t="shared" si="1"/>
        <v>6</v>
      </c>
      <c r="H24" s="7"/>
    </row>
    <row r="25" spans="2:8" x14ac:dyDescent="0.2">
      <c r="B25" s="5" t="s">
        <v>22</v>
      </c>
      <c r="C25" s="45">
        <v>55</v>
      </c>
      <c r="D25" s="61">
        <v>99</v>
      </c>
      <c r="E25" s="45">
        <f t="shared" si="0"/>
        <v>-44</v>
      </c>
      <c r="F25" s="61">
        <v>89</v>
      </c>
      <c r="G25" s="45">
        <f t="shared" si="1"/>
        <v>-34</v>
      </c>
      <c r="H25" s="7"/>
    </row>
    <row r="26" spans="2:8" x14ac:dyDescent="0.2">
      <c r="B26" s="5" t="s">
        <v>23</v>
      </c>
      <c r="C26" s="45">
        <v>763</v>
      </c>
      <c r="D26" s="61">
        <v>849</v>
      </c>
      <c r="E26" s="45">
        <f t="shared" si="0"/>
        <v>-86</v>
      </c>
      <c r="F26" s="61">
        <v>558</v>
      </c>
      <c r="G26" s="45">
        <f t="shared" si="1"/>
        <v>205</v>
      </c>
      <c r="H26" s="7"/>
    </row>
    <row r="27" spans="2:8" x14ac:dyDescent="0.2">
      <c r="B27" s="5" t="s">
        <v>24</v>
      </c>
      <c r="C27" s="45">
        <v>69</v>
      </c>
      <c r="D27" s="61">
        <v>81</v>
      </c>
      <c r="E27" s="45">
        <f t="shared" si="0"/>
        <v>-12</v>
      </c>
      <c r="F27" s="61">
        <v>140</v>
      </c>
      <c r="G27" s="45">
        <f t="shared" si="1"/>
        <v>-71</v>
      </c>
      <c r="H27" s="7"/>
    </row>
    <row r="28" spans="2:8" ht="15" x14ac:dyDescent="0.25">
      <c r="B28" s="58" t="s">
        <v>25</v>
      </c>
      <c r="C28" s="78">
        <f>SUM(C3:C27)</f>
        <v>3534</v>
      </c>
      <c r="D28" s="63">
        <f>SUM(D3:D27)</f>
        <v>4167</v>
      </c>
      <c r="E28" s="78">
        <f>SUM(E3:E27)</f>
        <v>-633</v>
      </c>
      <c r="F28" s="63">
        <f>SUM(F3:F27)</f>
        <v>3786</v>
      </c>
      <c r="G28" s="78">
        <f>SUM(G3:G27)</f>
        <v>-252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62" t="s">
        <v>88</v>
      </c>
      <c r="C3" s="55" t="str">
        <f>T('9oferty p.'!B2)</f>
        <v>powiaty</v>
      </c>
      <c r="D3" s="55" t="str">
        <f>T('9oferty p.'!C2)</f>
        <v>liczba ofert w VII '23 r.</v>
      </c>
      <c r="E3" s="55" t="str">
        <f>T('9oferty p.'!D2)</f>
        <v>liczba ofert w VI '23 r.</v>
      </c>
      <c r="F3" s="55" t="str">
        <f>T('9oferty p.'!E2)</f>
        <v>wzrost/spadek do poprzedniego  miesiąca</v>
      </c>
      <c r="G3" s="55" t="str">
        <f>T('9oferty p.'!F2)</f>
        <v>liczba ofert w VII '22 r.</v>
      </c>
      <c r="H3" s="55" t="str">
        <f>T('9oferty p.'!G2)</f>
        <v>wzrost/spadek do analogicznego okresu ubr.</v>
      </c>
    </row>
    <row r="4" spans="2:8" x14ac:dyDescent="0.2">
      <c r="B4" s="6">
        <f>RANK('9oferty p.'!C3,'9oferty p.'!$C$3:'9oferty p.'!$C$28,1)+COUNTIF('9oferty p.'!$C$3:'9oferty p.'!C3,'9oferty p.'!C3)-1</f>
        <v>3</v>
      </c>
      <c r="C4" s="5" t="str">
        <f>INDEX('9oferty p.'!B3:G28,MATCH(1,B4:B29,0),1)</f>
        <v>przemyski</v>
      </c>
      <c r="D4" s="25">
        <f>INDEX('9oferty p.'!B3:G28,MATCH(1,B4:B29,0),2)</f>
        <v>21</v>
      </c>
      <c r="E4" s="61">
        <f>INDEX('9oferty p.'!B3:G28,MATCH(1,B4:B29,0),3)</f>
        <v>55</v>
      </c>
      <c r="F4" s="6">
        <f>INDEX('9oferty p.'!B3:G28,MATCH(1,B4:B29,0),4)</f>
        <v>-34</v>
      </c>
      <c r="G4" s="61">
        <f>INDEX('9oferty p.'!B3:G28,MATCH(1,B4:B29,0),5)</f>
        <v>30</v>
      </c>
      <c r="H4" s="6">
        <f>INDEX('9oferty p.'!B3:G28,MATCH(1,B4:B29,0),6)</f>
        <v>-9</v>
      </c>
    </row>
    <row r="5" spans="2:8" x14ac:dyDescent="0.2">
      <c r="B5" s="6">
        <f>RANK('9oferty p.'!C4,'9oferty p.'!$C$3:'9oferty p.'!$C$28,1)+COUNTIF('9oferty p.'!$C$3:'9oferty p.'!C4,'9oferty p.'!C4)-1</f>
        <v>5</v>
      </c>
      <c r="C5" s="5" t="str">
        <f>INDEX('9oferty p.'!B3:G28,MATCH(2,B4:B29,0),1)</f>
        <v>leski</v>
      </c>
      <c r="D5" s="6">
        <f>INDEX('9oferty p.'!B3:G28,MATCH(2,B4:B29,0),2)</f>
        <v>23</v>
      </c>
      <c r="E5" s="61">
        <f>INDEX('9oferty p.'!B3:G28,MATCH(2,B4:B29,0),3)</f>
        <v>66</v>
      </c>
      <c r="F5" s="6">
        <f>INDEX('9oferty p.'!B3:G28,MATCH(2,B4:B29,0),4)</f>
        <v>-43</v>
      </c>
      <c r="G5" s="61">
        <f>INDEX('9oferty p.'!B3:G28,MATCH(2,B4:B29,0),5)</f>
        <v>22</v>
      </c>
      <c r="H5" s="6">
        <f>INDEX('9oferty p.'!B3:G28,MATCH(2,B4:B29,0),6)</f>
        <v>1</v>
      </c>
    </row>
    <row r="6" spans="2:8" x14ac:dyDescent="0.2">
      <c r="B6" s="6">
        <f>RANK('9oferty p.'!C5,'9oferty p.'!$C$3:'9oferty p.'!$C$28,1)+COUNTIF('9oferty p.'!$C$3:'9oferty p.'!C5,'9oferty p.'!C5)-1</f>
        <v>21</v>
      </c>
      <c r="C6" s="5" t="str">
        <f>INDEX('9oferty p.'!B3:G28,MATCH(3,B4:B29,0),1)</f>
        <v>bieszczadzki</v>
      </c>
      <c r="D6" s="6">
        <f>INDEX('9oferty p.'!B3:G28,MATCH(3,B4:B29,0),2)</f>
        <v>25</v>
      </c>
      <c r="E6" s="61">
        <f>INDEX('9oferty p.'!B3:G28,MATCH(3,B4:B29,0),3)</f>
        <v>45</v>
      </c>
      <c r="F6" s="6">
        <f>INDEX('9oferty p.'!B3:G28,MATCH(3,B4:B29,0),4)</f>
        <v>-20</v>
      </c>
      <c r="G6" s="61">
        <f>INDEX('9oferty p.'!B3:G28,MATCH(3,B4:B29,0),5)</f>
        <v>36</v>
      </c>
      <c r="H6" s="6">
        <f>INDEX('9oferty p.'!B3:G28,MATCH(3,B4:B29,0),6)</f>
        <v>-11</v>
      </c>
    </row>
    <row r="7" spans="2:8" x14ac:dyDescent="0.2">
      <c r="B7" s="6">
        <f>RANK('9oferty p.'!C6,'9oferty p.'!$C$3:'9oferty p.'!$C$28,1)+COUNTIF('9oferty p.'!$C$3:'9oferty p.'!C6,'9oferty p.'!C6)-1</f>
        <v>23</v>
      </c>
      <c r="C7" s="5" t="str">
        <f>INDEX('9oferty p.'!B3:G28,MATCH(4,B4:B29,0),1)</f>
        <v>Przemyśl</v>
      </c>
      <c r="D7" s="6">
        <f>INDEX('9oferty p.'!B3:G28,MATCH(4,B4:B29,0),2)</f>
        <v>55</v>
      </c>
      <c r="E7" s="61">
        <f>INDEX('9oferty p.'!B3:G28,MATCH(4,B4:B29,0),3)</f>
        <v>99</v>
      </c>
      <c r="F7" s="6">
        <f>INDEX('9oferty p.'!B3:G28,MATCH(4,B4:B29,0),4)</f>
        <v>-44</v>
      </c>
      <c r="G7" s="61">
        <f>INDEX('9oferty p.'!B3:G28,MATCH(4,B4:B29,0),5)</f>
        <v>89</v>
      </c>
      <c r="H7" s="6">
        <f>INDEX('9oferty p.'!B3:G28,MATCH(4,B4:B29,0),6)</f>
        <v>-34</v>
      </c>
    </row>
    <row r="8" spans="2:8" x14ac:dyDescent="0.2">
      <c r="B8" s="6">
        <f>RANK('9oferty p.'!C7,'9oferty p.'!$C$3:'9oferty p.'!$C$28,1)+COUNTIF('9oferty p.'!$C$3:'9oferty p.'!C7,'9oferty p.'!C7)-1</f>
        <v>20</v>
      </c>
      <c r="C8" s="5" t="str">
        <f>INDEX('9oferty p.'!B3:G28,MATCH(5,B4:B29,0),1)</f>
        <v>brzozowski</v>
      </c>
      <c r="D8" s="6">
        <f>INDEX('9oferty p.'!B3:G28,MATCH(5,B4:B29,0),2)</f>
        <v>56</v>
      </c>
      <c r="E8" s="61">
        <f>INDEX('9oferty p.'!B3:G28,MATCH(5,B4:B29,0),3)</f>
        <v>76</v>
      </c>
      <c r="F8" s="6">
        <f>INDEX('9oferty p.'!B3:G28,MATCH(5,B4:B29,0),4)</f>
        <v>-20</v>
      </c>
      <c r="G8" s="61">
        <f>INDEX('9oferty p.'!B3:G28,MATCH(5,B4:B29,0),5)</f>
        <v>70</v>
      </c>
      <c r="H8" s="6">
        <f>INDEX('9oferty p.'!B3:G28,MATCH(5,B4:B29,0),6)</f>
        <v>-14</v>
      </c>
    </row>
    <row r="9" spans="2:8" x14ac:dyDescent="0.2">
      <c r="B9" s="6">
        <f>RANK('9oferty p.'!C8,'9oferty p.'!$C$3:'9oferty p.'!$C$28,1)+COUNTIF('9oferty p.'!$C$3:'9oferty p.'!C8,'9oferty p.'!C8)-1</f>
        <v>11</v>
      </c>
      <c r="C9" s="5" t="str">
        <f>INDEX('9oferty p.'!B3:G28,MATCH(6,B4:B29,0),1)</f>
        <v>łańcucki</v>
      </c>
      <c r="D9" s="6">
        <f>INDEX('9oferty p.'!B3:G28,MATCH(6,B4:B29,0),2)</f>
        <v>58</v>
      </c>
      <c r="E9" s="61">
        <f>INDEX('9oferty p.'!B3:G28,MATCH(6,B4:B29,0),3)</f>
        <v>81</v>
      </c>
      <c r="F9" s="6">
        <f>INDEX('9oferty p.'!B3:G28,MATCH(6,B4:B29,0),4)</f>
        <v>-23</v>
      </c>
      <c r="G9" s="61">
        <f>INDEX('9oferty p.'!B3:G28,MATCH(6,B4:B29,0),5)</f>
        <v>83</v>
      </c>
      <c r="H9" s="6">
        <f>INDEX('9oferty p.'!B3:G28,MATCH(6,B4:B29,0),6)</f>
        <v>-25</v>
      </c>
    </row>
    <row r="10" spans="2:8" x14ac:dyDescent="0.2">
      <c r="B10" s="6">
        <f>RANK('9oferty p.'!C9,'9oferty p.'!$C$3:'9oferty p.'!$C$28,1)+COUNTIF('9oferty p.'!$C$3:'9oferty p.'!C9,'9oferty p.'!C9)-1</f>
        <v>17</v>
      </c>
      <c r="C10" s="9" t="str">
        <f>INDEX('9oferty p.'!B3:G28,MATCH(7,B4:B29,0),1)</f>
        <v>leżajski</v>
      </c>
      <c r="D10" s="6">
        <f>INDEX('9oferty p.'!B3:G28,MATCH(7,B4:B29,0),2)</f>
        <v>59</v>
      </c>
      <c r="E10" s="61">
        <f>INDEX('9oferty p.'!B3:G28,MATCH(7,B4:B29,0),3)</f>
        <v>103</v>
      </c>
      <c r="F10" s="6">
        <f>INDEX('9oferty p.'!B3:G28,MATCH(7,B4:B29,0),4)</f>
        <v>-44</v>
      </c>
      <c r="G10" s="61">
        <f>INDEX('9oferty p.'!B3:G28,MATCH(7,B4:B29,0),5)</f>
        <v>104</v>
      </c>
      <c r="H10" s="6">
        <f>INDEX('9oferty p.'!B3:G28,MATCH(7,B4:B29,0),6)</f>
        <v>-45</v>
      </c>
    </row>
    <row r="11" spans="2:8" x14ac:dyDescent="0.2">
      <c r="B11" s="6">
        <f>RANK('9oferty p.'!C10,'9oferty p.'!$C$3:'9oferty p.'!$C$28,1)+COUNTIF('9oferty p.'!$C$3:'9oferty p.'!C10,'9oferty p.'!C10)-1</f>
        <v>2</v>
      </c>
      <c r="C11" s="5" t="str">
        <f>INDEX('9oferty p.'!B3:G28,MATCH(8,B4:B29,0),1)</f>
        <v>Tarnobrzeg</v>
      </c>
      <c r="D11" s="6">
        <f>INDEX('9oferty p.'!B3:G28,MATCH(8,B4:B29,0),2)</f>
        <v>69</v>
      </c>
      <c r="E11" s="61">
        <f>INDEX('9oferty p.'!B3:G28,MATCH(8,B4:B29,0),3)</f>
        <v>81</v>
      </c>
      <c r="F11" s="6">
        <f>INDEX('9oferty p.'!B3:G28,MATCH(8,B4:B29,0),4)</f>
        <v>-12</v>
      </c>
      <c r="G11" s="61">
        <f>INDEX('9oferty p.'!B3:G28,MATCH(8,B4:B29,0),5)</f>
        <v>140</v>
      </c>
      <c r="H11" s="6">
        <f>INDEX('9oferty p.'!B3:G28,MATCH(8,B4:B29,0),6)</f>
        <v>-71</v>
      </c>
    </row>
    <row r="12" spans="2:8" x14ac:dyDescent="0.2">
      <c r="B12" s="6">
        <f>RANK('9oferty p.'!C11,'9oferty p.'!$C$3:'9oferty p.'!$C$28,1)+COUNTIF('9oferty p.'!$C$3:'9oferty p.'!C11,'9oferty p.'!C11)-1</f>
        <v>7</v>
      </c>
      <c r="C12" s="5" t="str">
        <f>INDEX('9oferty p.'!B3:G28,MATCH(9,B4:B29,0),1)</f>
        <v>Krosno</v>
      </c>
      <c r="D12" s="6">
        <f>INDEX('9oferty p.'!B3:G28,MATCH(9,B4:B29,0),2)</f>
        <v>72</v>
      </c>
      <c r="E12" s="61">
        <f>INDEX('9oferty p.'!B3:G28,MATCH(9,B4:B29,0),3)</f>
        <v>73</v>
      </c>
      <c r="F12" s="6">
        <f>INDEX('9oferty p.'!B3:G28,MATCH(9,B4:B29,0),4)</f>
        <v>-1</v>
      </c>
      <c r="G12" s="61">
        <f>INDEX('9oferty p.'!B3:G28,MATCH(9,B4:B29,0),5)</f>
        <v>66</v>
      </c>
      <c r="H12" s="6">
        <f>INDEX('9oferty p.'!B3:G28,MATCH(9,B4:B29,0),6)</f>
        <v>6</v>
      </c>
    </row>
    <row r="13" spans="2:8" x14ac:dyDescent="0.2">
      <c r="B13" s="6">
        <f>RANK('9oferty p.'!C12,'9oferty p.'!$C$3:'9oferty p.'!$C$28,1)+COUNTIF('9oferty p.'!$C$3:'9oferty p.'!C12,'9oferty p.'!C12)-1</f>
        <v>16</v>
      </c>
      <c r="C13" s="5" t="str">
        <f>INDEX('9oferty p.'!B3:G28,MATCH(10,B4:B29,0),1)</f>
        <v>ropczycko-sędziszowski</v>
      </c>
      <c r="D13" s="6">
        <f>INDEX('9oferty p.'!B3:G28,MATCH(10,B4:B29,0),2)</f>
        <v>83</v>
      </c>
      <c r="E13" s="61">
        <f>INDEX('9oferty p.'!B3:G28,MATCH(10,B4:B29,0),3)</f>
        <v>166</v>
      </c>
      <c r="F13" s="6">
        <f>INDEX('9oferty p.'!B3:G28,MATCH(10,B4:B29,0),4)</f>
        <v>-83</v>
      </c>
      <c r="G13" s="61">
        <f>INDEX('9oferty p.'!B3:G28,MATCH(10,B4:B29,0),5)</f>
        <v>159</v>
      </c>
      <c r="H13" s="6">
        <f>INDEX('9oferty p.'!B3:G28,MATCH(10,B4:B29,0),6)</f>
        <v>-76</v>
      </c>
    </row>
    <row r="14" spans="2:8" x14ac:dyDescent="0.2">
      <c r="B14" s="6">
        <f>RANK('9oferty p.'!C13,'9oferty p.'!$C$3:'9oferty p.'!$C$28,1)+COUNTIF('9oferty p.'!$C$3:'9oferty p.'!C13,'9oferty p.'!C13)-1</f>
        <v>6</v>
      </c>
      <c r="C14" s="5" t="str">
        <f>INDEX('9oferty p.'!B3:G28,MATCH(11,B4:B29,0),1)</f>
        <v>kolbuszowski</v>
      </c>
      <c r="D14" s="6">
        <f>INDEX('9oferty p.'!B3:G28,MATCH(11,B4:B29,0),2)</f>
        <v>90</v>
      </c>
      <c r="E14" s="61">
        <f>INDEX('9oferty p.'!B3:G28,MATCH(11,B4:B29,0),3)</f>
        <v>86</v>
      </c>
      <c r="F14" s="6">
        <f>INDEX('9oferty p.'!B3:G28,MATCH(11,B4:B29,0),4)</f>
        <v>4</v>
      </c>
      <c r="G14" s="61">
        <f>INDEX('9oferty p.'!B3:G28,MATCH(11,B4:B29,0),5)</f>
        <v>125</v>
      </c>
      <c r="H14" s="6">
        <f>INDEX('9oferty p.'!B3:G28,MATCH(11,B4:B29,0),6)</f>
        <v>-35</v>
      </c>
    </row>
    <row r="15" spans="2:8" x14ac:dyDescent="0.2">
      <c r="B15" s="6">
        <f>RANK('9oferty p.'!C14,'9oferty p.'!$C$3:'9oferty p.'!$C$28,1)+COUNTIF('9oferty p.'!$C$3:'9oferty p.'!C14,'9oferty p.'!C14)-1</f>
        <v>22</v>
      </c>
      <c r="C15" s="5" t="str">
        <f>INDEX('9oferty p.'!B3:G28,MATCH(12,B4:B29,0),1)</f>
        <v>sanocki</v>
      </c>
      <c r="D15" s="6">
        <f>INDEX('9oferty p.'!B3:G28,MATCH(12,B4:B29,0),2)</f>
        <v>90</v>
      </c>
      <c r="E15" s="61">
        <f>INDEX('9oferty p.'!B3:G28,MATCH(12,B4:B29,0),3)</f>
        <v>135</v>
      </c>
      <c r="F15" s="6">
        <f>INDEX('9oferty p.'!B3:G28,MATCH(12,B4:B29,0),4)</f>
        <v>-45</v>
      </c>
      <c r="G15" s="61">
        <f>INDEX('9oferty p.'!B3:G28,MATCH(12,B4:B29,0),5)</f>
        <v>96</v>
      </c>
      <c r="H15" s="6">
        <f>INDEX('9oferty p.'!B3:G28,MATCH(12,B4:B29,0),6)</f>
        <v>-6</v>
      </c>
    </row>
    <row r="16" spans="2:8" x14ac:dyDescent="0.2">
      <c r="B16" s="6">
        <f>RANK('9oferty p.'!C15,'9oferty p.'!$C$3:'9oferty p.'!$C$28,1)+COUNTIF('9oferty p.'!$C$3:'9oferty p.'!C15,'9oferty p.'!C15)-1</f>
        <v>15</v>
      </c>
      <c r="C16" s="5" t="str">
        <f>INDEX('9oferty p.'!B3:G28,MATCH(13,B4:B29,0),1)</f>
        <v xml:space="preserve">tarnobrzeski </v>
      </c>
      <c r="D16" s="6">
        <f>INDEX('9oferty p.'!B3:G28,MATCH(13,B4:B29,0),2)</f>
        <v>91</v>
      </c>
      <c r="E16" s="61">
        <f>INDEX('9oferty p.'!B3:G28,MATCH(13,B4:B29,0),3)</f>
        <v>108</v>
      </c>
      <c r="F16" s="6">
        <f>INDEX('9oferty p.'!B3:G28,MATCH(13,B4:B29,0),4)</f>
        <v>-17</v>
      </c>
      <c r="G16" s="61">
        <f>INDEX('9oferty p.'!B3:G28,MATCH(13,B4:B29,0),5)</f>
        <v>195</v>
      </c>
      <c r="H16" s="6">
        <f>INDEX('9oferty p.'!B3:G28,MATCH(13,B4:B29,0),6)</f>
        <v>-104</v>
      </c>
    </row>
    <row r="17" spans="2:8" x14ac:dyDescent="0.2">
      <c r="B17" s="6">
        <f>RANK('9oferty p.'!C16,'9oferty p.'!$C$3:'9oferty p.'!$C$28,1)+COUNTIF('9oferty p.'!$C$3:'9oferty p.'!C16,'9oferty p.'!C16)-1</f>
        <v>1</v>
      </c>
      <c r="C17" s="5" t="str">
        <f>INDEX('9oferty p.'!B3:G28,MATCH(14,B4:B29,0),1)</f>
        <v>stalowowolski</v>
      </c>
      <c r="D17" s="6">
        <f>INDEX('9oferty p.'!B3:G28,MATCH(14,B4:B29,0),2)</f>
        <v>96</v>
      </c>
      <c r="E17" s="61">
        <f>INDEX('9oferty p.'!B3:G28,MATCH(14,B4:B29,0),3)</f>
        <v>142</v>
      </c>
      <c r="F17" s="6">
        <f>INDEX('9oferty p.'!B3:G28,MATCH(14,B4:B29,0),4)</f>
        <v>-46</v>
      </c>
      <c r="G17" s="61">
        <f>INDEX('9oferty p.'!B3:G28,MATCH(14,B4:B29,0),5)</f>
        <v>143</v>
      </c>
      <c r="H17" s="6">
        <f>INDEX('9oferty p.'!B3:G28,MATCH(14,B4:B29,0),6)</f>
        <v>-47</v>
      </c>
    </row>
    <row r="18" spans="2:8" x14ac:dyDescent="0.2">
      <c r="B18" s="6">
        <f>RANK('9oferty p.'!C17,'9oferty p.'!$C$3:'9oferty p.'!$C$28,1)+COUNTIF('9oferty p.'!$C$3:'9oferty p.'!C17,'9oferty p.'!C17)-1</f>
        <v>24</v>
      </c>
      <c r="C18" s="5" t="str">
        <f>INDEX('9oferty p.'!B3:G28,MATCH(15,B4:B29,0),1)</f>
        <v>niżański</v>
      </c>
      <c r="D18" s="6">
        <f>INDEX('9oferty p.'!B3:G28,MATCH(15,B4:B29,0),2)</f>
        <v>105</v>
      </c>
      <c r="E18" s="61">
        <f>INDEX('9oferty p.'!B3:G28,MATCH(15,B4:B29,0),3)</f>
        <v>112</v>
      </c>
      <c r="F18" s="6">
        <f>INDEX('9oferty p.'!B3:G28,MATCH(15,B4:B29,0),4)</f>
        <v>-7</v>
      </c>
      <c r="G18" s="61">
        <f>INDEX('9oferty p.'!B3:G28,MATCH(15,B4:B29,0),5)</f>
        <v>87</v>
      </c>
      <c r="H18" s="6">
        <f>INDEX('9oferty p.'!B3:G28,MATCH(15,B4:B29,0),6)</f>
        <v>18</v>
      </c>
    </row>
    <row r="19" spans="2:8" x14ac:dyDescent="0.2">
      <c r="B19" s="6">
        <f>RANK('9oferty p.'!C18,'9oferty p.'!$C$3:'9oferty p.'!$C$28,1)+COUNTIF('9oferty p.'!$C$3:'9oferty p.'!C18,'9oferty p.'!C18)-1</f>
        <v>10</v>
      </c>
      <c r="C19" s="5" t="str">
        <f>INDEX('9oferty p.'!B3:G28,MATCH(16,B4:B29,0),1)</f>
        <v>lubaczowski</v>
      </c>
      <c r="D19" s="6">
        <f>INDEX('9oferty p.'!B3:G28,MATCH(16,B4:B29,0),2)</f>
        <v>111</v>
      </c>
      <c r="E19" s="61">
        <f>INDEX('9oferty p.'!B3:G28,MATCH(16,B4:B29,0),3)</f>
        <v>69</v>
      </c>
      <c r="F19" s="6">
        <f>INDEX('9oferty p.'!B3:G28,MATCH(16,B4:B29,0),4)</f>
        <v>42</v>
      </c>
      <c r="G19" s="61">
        <f>INDEX('9oferty p.'!B3:G28,MATCH(16,B4:B29,0),5)</f>
        <v>55</v>
      </c>
      <c r="H19" s="6">
        <f>INDEX('9oferty p.'!B3:G28,MATCH(16,B4:B29,0),6)</f>
        <v>56</v>
      </c>
    </row>
    <row r="20" spans="2:8" x14ac:dyDescent="0.2">
      <c r="B20" s="6">
        <f>RANK('9oferty p.'!C19,'9oferty p.'!$C$3:'9oferty p.'!$C$28,1)+COUNTIF('9oferty p.'!$C$3:'9oferty p.'!C19,'9oferty p.'!C19)-1</f>
        <v>19</v>
      </c>
      <c r="C20" s="5" t="str">
        <f>INDEX('9oferty p.'!B3:G28,MATCH(17,B4:B29,0),1)</f>
        <v>krośnieński</v>
      </c>
      <c r="D20" s="6">
        <f>INDEX('9oferty p.'!B3:G28,MATCH(17,B4:B29,0),2)</f>
        <v>131</v>
      </c>
      <c r="E20" s="61">
        <f>INDEX('9oferty p.'!B3:G28,MATCH(17,B4:B29,0),3)</f>
        <v>92</v>
      </c>
      <c r="F20" s="6">
        <f>INDEX('9oferty p.'!B3:G28,MATCH(17,B4:B29,0),4)</f>
        <v>39</v>
      </c>
      <c r="G20" s="61">
        <f>INDEX('9oferty p.'!B3:G28,MATCH(17,B4:B29,0),5)</f>
        <v>58</v>
      </c>
      <c r="H20" s="6">
        <f>INDEX('9oferty p.'!B3:G28,MATCH(17,B4:B29,0),6)</f>
        <v>73</v>
      </c>
    </row>
    <row r="21" spans="2:8" x14ac:dyDescent="0.2">
      <c r="B21" s="6">
        <f>RANK('9oferty p.'!C20,'9oferty p.'!$C$3:'9oferty p.'!$C$28,1)+COUNTIF('9oferty p.'!$C$3:'9oferty p.'!C20,'9oferty p.'!C20)-1</f>
        <v>12</v>
      </c>
      <c r="C21" s="5" t="str">
        <f>INDEX('9oferty p.'!B3:G28,MATCH(18,B4:B29,0),1)</f>
        <v>strzyżowski</v>
      </c>
      <c r="D21" s="6">
        <f>INDEX('9oferty p.'!B3:G28,MATCH(18,B4:B29,0),2)</f>
        <v>144</v>
      </c>
      <c r="E21" s="61">
        <f>INDEX('9oferty p.'!B3:G28,MATCH(18,B4:B29,0),3)</f>
        <v>152</v>
      </c>
      <c r="F21" s="6">
        <f>INDEX('9oferty p.'!B3:G28,MATCH(18,B4:B29,0),4)</f>
        <v>-8</v>
      </c>
      <c r="G21" s="61">
        <f>INDEX('9oferty p.'!B3:G28,MATCH(18,B4:B29,0),5)</f>
        <v>179</v>
      </c>
      <c r="H21" s="6">
        <f>INDEX('9oferty p.'!B3:G28,MATCH(18,B4:B29,0),6)</f>
        <v>-35</v>
      </c>
    </row>
    <row r="22" spans="2:8" x14ac:dyDescent="0.2">
      <c r="B22" s="6">
        <f>RANK('9oferty p.'!C21,'9oferty p.'!$C$3:'9oferty p.'!$C$28,1)+COUNTIF('9oferty p.'!$C$3:'9oferty p.'!C21,'9oferty p.'!C21)-1</f>
        <v>14</v>
      </c>
      <c r="C22" s="5" t="str">
        <f>INDEX('9oferty p.'!B3:G28,MATCH(19,B4:B29,0),1)</f>
        <v>rzeszowski</v>
      </c>
      <c r="D22" s="6">
        <f>INDEX('9oferty p.'!B3:G28,MATCH(19,B4:B29,0),2)</f>
        <v>155</v>
      </c>
      <c r="E22" s="61">
        <f>INDEX('9oferty p.'!B3:G28,MATCH(19,B4:B29,0),3)</f>
        <v>183</v>
      </c>
      <c r="F22" s="6">
        <f>INDEX('9oferty p.'!B3:G28,MATCH(19,B4:B29,0),4)</f>
        <v>-28</v>
      </c>
      <c r="G22" s="61">
        <f>INDEX('9oferty p.'!B3:G28,MATCH(19,B4:B29,0),5)</f>
        <v>183</v>
      </c>
      <c r="H22" s="6">
        <f>INDEX('9oferty p.'!B3:G28,MATCH(19,B4:B29,0),6)</f>
        <v>-28</v>
      </c>
    </row>
    <row r="23" spans="2:8" x14ac:dyDescent="0.2">
      <c r="B23" s="6">
        <f>RANK('9oferty p.'!C22,'9oferty p.'!$C$3:'9oferty p.'!$C$28,1)+COUNTIF('9oferty p.'!$C$3:'9oferty p.'!C22,'9oferty p.'!C22)-1</f>
        <v>18</v>
      </c>
      <c r="C23" s="5" t="str">
        <f>INDEX('9oferty p.'!B3:G28,MATCH(20,B4:B29,0),1)</f>
        <v>jasielski</v>
      </c>
      <c r="D23" s="6">
        <f>INDEX('9oferty p.'!B3:G28,MATCH(20,B4:B29,0),2)</f>
        <v>191</v>
      </c>
      <c r="E23" s="61">
        <f>INDEX('9oferty p.'!B3:G28,MATCH(20,B4:B29,0),3)</f>
        <v>217</v>
      </c>
      <c r="F23" s="6">
        <f>INDEX('9oferty p.'!B3:G28,MATCH(20,B4:B29,0),4)</f>
        <v>-26</v>
      </c>
      <c r="G23" s="61">
        <f>INDEX('9oferty p.'!B3:G28,MATCH(20,B4:B29,0),5)</f>
        <v>178</v>
      </c>
      <c r="H23" s="6">
        <f>INDEX('9oferty p.'!B3:G28,MATCH(20,B4:B29,0),6)</f>
        <v>13</v>
      </c>
    </row>
    <row r="24" spans="2:8" x14ac:dyDescent="0.2">
      <c r="B24" s="6">
        <f>RANK('9oferty p.'!C23,'9oferty p.'!$C$3:'9oferty p.'!$C$28,1)+COUNTIF('9oferty p.'!$C$3:'9oferty p.'!C23,'9oferty p.'!C23)-1</f>
        <v>13</v>
      </c>
      <c r="C24" s="5" t="str">
        <f>INDEX('9oferty p.'!B3:G28,MATCH(21,B4:B29,0),1)</f>
        <v>dębicki</v>
      </c>
      <c r="D24" s="6">
        <f>INDEX('9oferty p.'!B3:G28,MATCH(21,B4:B29,0),2)</f>
        <v>220</v>
      </c>
      <c r="E24" s="61">
        <f>INDEX('9oferty p.'!B3:G28,MATCH(21,B4:B29,0),3)</f>
        <v>237</v>
      </c>
      <c r="F24" s="6">
        <f>INDEX('9oferty p.'!B3:G28,MATCH(21,B4:B29,0),4)</f>
        <v>-17</v>
      </c>
      <c r="G24" s="61">
        <f>INDEX('9oferty p.'!B3:G28,MATCH(21,B4:B29,0),5)</f>
        <v>360</v>
      </c>
      <c r="H24" s="6">
        <f>INDEX('9oferty p.'!B3:G28,MATCH(21,B4:B29,0),6)</f>
        <v>-140</v>
      </c>
    </row>
    <row r="25" spans="2:8" x14ac:dyDescent="0.2">
      <c r="B25" s="6">
        <f>RANK('9oferty p.'!C24,'9oferty p.'!$C$3:'9oferty p.'!$C$28,1)+COUNTIF('9oferty p.'!$C$3:'9oferty p.'!C24,'9oferty p.'!C24)-1</f>
        <v>9</v>
      </c>
      <c r="C25" s="5" t="str">
        <f>INDEX('9oferty p.'!B3:G28,MATCH(22,B4:B29,0),1)</f>
        <v>mielecki</v>
      </c>
      <c r="D25" s="6">
        <f>INDEX('9oferty p.'!B3:G28,MATCH(22,B4:B29,0),2)</f>
        <v>271</v>
      </c>
      <c r="E25" s="61">
        <f>INDEX('9oferty p.'!B3:G28,MATCH(22,B4:B29,0),3)</f>
        <v>322</v>
      </c>
      <c r="F25" s="6">
        <f>INDEX('9oferty p.'!B3:G28,MATCH(22,B4:B29,0),4)</f>
        <v>-51</v>
      </c>
      <c r="G25" s="61">
        <f>INDEX('9oferty p.'!B3:G28,MATCH(22,B4:B29,0),5)</f>
        <v>419</v>
      </c>
      <c r="H25" s="6">
        <f>INDEX('9oferty p.'!B3:G28,MATCH(22,B4:B29,0),6)</f>
        <v>-148</v>
      </c>
    </row>
    <row r="26" spans="2:8" x14ac:dyDescent="0.2">
      <c r="B26" s="6">
        <f>RANK('9oferty p.'!C25,'9oferty p.'!$C$3:'9oferty p.'!$C$28,1)+COUNTIF('9oferty p.'!$C$3:'9oferty p.'!C25,'9oferty p.'!C25)-1</f>
        <v>4</v>
      </c>
      <c r="C26" s="5" t="str">
        <f>INDEX('9oferty p.'!B3:G28,MATCH(23,B4:B29,0),1)</f>
        <v>jarosławski</v>
      </c>
      <c r="D26" s="6">
        <f>INDEX('9oferty p.'!B3:G28,MATCH(23,B4:B29,0),2)</f>
        <v>273</v>
      </c>
      <c r="E26" s="61">
        <f>INDEX('9oferty p.'!B3:G28,MATCH(23,B4:B29,0),3)</f>
        <v>308</v>
      </c>
      <c r="F26" s="6">
        <f>INDEX('9oferty p.'!B3:G28,MATCH(23,B4:B29,0),4)</f>
        <v>-35</v>
      </c>
      <c r="G26" s="61">
        <f>INDEX('9oferty p.'!B3:G28,MATCH(23,B4:B29,0),5)</f>
        <v>173</v>
      </c>
      <c r="H26" s="6">
        <f>INDEX('9oferty p.'!B3:G28,MATCH(23,B4:B29,0),6)</f>
        <v>100</v>
      </c>
    </row>
    <row r="27" spans="2:8" x14ac:dyDescent="0.2">
      <c r="B27" s="6">
        <f>RANK('9oferty p.'!C26,'9oferty p.'!$C$3:'9oferty p.'!$C$28,1)+COUNTIF('9oferty p.'!$C$3:'9oferty p.'!C26,'9oferty p.'!C26)-1</f>
        <v>25</v>
      </c>
      <c r="C27" s="5" t="str">
        <f>INDEX('9oferty p.'!B3:G28,MATCH(24,B4:B29,0),1)</f>
        <v>przeworski</v>
      </c>
      <c r="D27" s="6">
        <f>INDEX('9oferty p.'!B3:G28,MATCH(24,B4:B29,0),2)</f>
        <v>282</v>
      </c>
      <c r="E27" s="61">
        <f>INDEX('9oferty p.'!B3:G28,MATCH(24,B4:B29,0),3)</f>
        <v>310</v>
      </c>
      <c r="F27" s="6">
        <f>INDEX('9oferty p.'!B3:G28,MATCH(24,B4:B29,0),4)</f>
        <v>-28</v>
      </c>
      <c r="G27" s="61">
        <f>INDEX('9oferty p.'!B3:G28,MATCH(24,B4:B29,0),5)</f>
        <v>178</v>
      </c>
      <c r="H27" s="6">
        <f>INDEX('9oferty p.'!B3:G28,MATCH(24,B4:B29,0),6)</f>
        <v>104</v>
      </c>
    </row>
    <row r="28" spans="2:8" x14ac:dyDescent="0.2">
      <c r="B28" s="6">
        <f>RANK('9oferty p.'!C27,'9oferty p.'!$C$3:'9oferty p.'!$C$28,1)+COUNTIF('9oferty p.'!$C$3:'9oferty p.'!C27,'9oferty p.'!C27)-1</f>
        <v>8</v>
      </c>
      <c r="C28" s="5" t="str">
        <f>INDEX('9oferty p.'!B3:G28,MATCH(25,B4:B29,0),1)</f>
        <v>Rzeszów</v>
      </c>
      <c r="D28" s="6">
        <f>INDEX('9oferty p.'!B3:G28,MATCH(25,B4:B29,0),2)</f>
        <v>763</v>
      </c>
      <c r="E28" s="61">
        <f>INDEX('9oferty p.'!B3:G28,MATCH(25,B4:B29,0),3)</f>
        <v>849</v>
      </c>
      <c r="F28" s="6">
        <f>INDEX('9oferty p.'!B3:G28,MATCH(25,B4:B29,0),4)</f>
        <v>-86</v>
      </c>
      <c r="G28" s="61">
        <f>INDEX('9oferty p.'!B3:G28,MATCH(25,B4:B29,0),5)</f>
        <v>558</v>
      </c>
      <c r="H28" s="6">
        <f>INDEX('9oferty p.'!B3:G28,MATCH(25,B4:B29,0),6)</f>
        <v>205</v>
      </c>
    </row>
    <row r="29" spans="2:8" ht="15" x14ac:dyDescent="0.25">
      <c r="B29" s="22">
        <f>RANK('9oferty p.'!C28,'9oferty p.'!$C$3:'9oferty p.'!$C$28,1)+COUNTIF('9oferty p.'!$C$3:'9oferty p.'!C28,'9oferty p.'!C28)-1</f>
        <v>26</v>
      </c>
      <c r="C29" s="58" t="str">
        <f>INDEX('9oferty p.'!B3:G28,MATCH(26,B4:B29,0),1)</f>
        <v>województwo</v>
      </c>
      <c r="D29" s="59">
        <f>INDEX('9oferty p.'!B3:G28,MATCH(26,B4:B29,0),2)</f>
        <v>3534</v>
      </c>
      <c r="E29" s="63">
        <f>INDEX('9oferty p.'!B3:G28,MATCH(26,B4:B29,0),3)</f>
        <v>4167</v>
      </c>
      <c r="F29" s="59">
        <f>INDEX('9oferty p.'!B3:G28,MATCH(26,B4:B29,0),4)</f>
        <v>-633</v>
      </c>
      <c r="G29" s="63">
        <f>INDEX('9oferty p.'!B3:G28,MATCH(26,B4:B29,0),5)</f>
        <v>3786</v>
      </c>
      <c r="H29" s="59">
        <f>INDEX('9oferty p.'!B3:G28,MATCH(26,B4:B29,0),6)</f>
        <v>-252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customWidth="1"/>
    <col min="10" max="10" width="6.140625" style="3" customWidth="1"/>
    <col min="11" max="12" width="9.140625" style="3"/>
    <col min="13" max="13" width="7.140625" style="3" customWidth="1"/>
    <col min="14" max="16384" width="9.140625" style="3"/>
  </cols>
  <sheetData>
    <row r="1" spans="2:11" ht="15" customHeight="1" x14ac:dyDescent="0.2">
      <c r="B1" s="49" t="s">
        <v>92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93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145</v>
      </c>
      <c r="D3" s="57" t="s">
        <v>125</v>
      </c>
      <c r="E3" s="56" t="s">
        <v>28</v>
      </c>
      <c r="F3" s="57" t="s">
        <v>144</v>
      </c>
      <c r="G3" s="56" t="s">
        <v>26</v>
      </c>
    </row>
    <row r="4" spans="2:11" x14ac:dyDescent="0.2">
      <c r="B4" s="5" t="s">
        <v>0</v>
      </c>
      <c r="C4" s="45">
        <v>23</v>
      </c>
      <c r="D4" s="61">
        <v>38</v>
      </c>
      <c r="E4" s="45">
        <f t="shared" ref="E4:E28" si="0">SUM(C4)-D4</f>
        <v>-15</v>
      </c>
      <c r="F4" s="61">
        <v>16</v>
      </c>
      <c r="G4" s="45">
        <f t="shared" ref="G4:G28" si="1">SUM(C4)-F4</f>
        <v>7</v>
      </c>
      <c r="H4" s="7"/>
    </row>
    <row r="5" spans="2:11" x14ac:dyDescent="0.2">
      <c r="B5" s="5" t="s">
        <v>1</v>
      </c>
      <c r="C5" s="45">
        <v>52</v>
      </c>
      <c r="D5" s="61">
        <v>68</v>
      </c>
      <c r="E5" s="45">
        <f t="shared" si="0"/>
        <v>-16</v>
      </c>
      <c r="F5" s="61">
        <v>61</v>
      </c>
      <c r="G5" s="45">
        <f t="shared" si="1"/>
        <v>-9</v>
      </c>
      <c r="H5" s="7"/>
    </row>
    <row r="6" spans="2:11" x14ac:dyDescent="0.2">
      <c r="B6" s="5" t="s">
        <v>2</v>
      </c>
      <c r="C6" s="45">
        <v>61</v>
      </c>
      <c r="D6" s="61">
        <v>82</v>
      </c>
      <c r="E6" s="45">
        <f t="shared" si="0"/>
        <v>-21</v>
      </c>
      <c r="F6" s="61">
        <v>69</v>
      </c>
      <c r="G6" s="45">
        <f t="shared" si="1"/>
        <v>-8</v>
      </c>
      <c r="H6" s="7"/>
    </row>
    <row r="7" spans="2:11" x14ac:dyDescent="0.2">
      <c r="B7" s="5" t="s">
        <v>3</v>
      </c>
      <c r="C7" s="45">
        <v>89</v>
      </c>
      <c r="D7" s="61">
        <v>123</v>
      </c>
      <c r="E7" s="45">
        <f t="shared" si="0"/>
        <v>-34</v>
      </c>
      <c r="F7" s="61">
        <v>101</v>
      </c>
      <c r="G7" s="45">
        <f t="shared" si="1"/>
        <v>-12</v>
      </c>
      <c r="H7" s="7"/>
    </row>
    <row r="8" spans="2:11" x14ac:dyDescent="0.2">
      <c r="B8" s="5" t="s">
        <v>4</v>
      </c>
      <c r="C8" s="45">
        <v>109</v>
      </c>
      <c r="D8" s="61">
        <v>95</v>
      </c>
      <c r="E8" s="45">
        <f t="shared" si="0"/>
        <v>14</v>
      </c>
      <c r="F8" s="61">
        <v>90</v>
      </c>
      <c r="G8" s="45">
        <f t="shared" si="1"/>
        <v>19</v>
      </c>
      <c r="H8" s="7"/>
    </row>
    <row r="9" spans="2:11" x14ac:dyDescent="0.2">
      <c r="B9" s="5" t="s">
        <v>5</v>
      </c>
      <c r="C9" s="45">
        <v>59</v>
      </c>
      <c r="D9" s="61">
        <v>41</v>
      </c>
      <c r="E9" s="45">
        <f t="shared" si="0"/>
        <v>18</v>
      </c>
      <c r="F9" s="61">
        <v>64</v>
      </c>
      <c r="G9" s="45">
        <f t="shared" si="1"/>
        <v>-5</v>
      </c>
      <c r="H9" s="7"/>
    </row>
    <row r="10" spans="2:11" x14ac:dyDescent="0.2">
      <c r="B10" s="9" t="s">
        <v>6</v>
      </c>
      <c r="C10" s="45">
        <v>31</v>
      </c>
      <c r="D10" s="61">
        <v>26</v>
      </c>
      <c r="E10" s="45">
        <f t="shared" si="0"/>
        <v>5</v>
      </c>
      <c r="F10" s="61">
        <v>29</v>
      </c>
      <c r="G10" s="45">
        <f t="shared" si="1"/>
        <v>2</v>
      </c>
      <c r="H10" s="7"/>
    </row>
    <row r="11" spans="2:11" x14ac:dyDescent="0.2">
      <c r="B11" s="5" t="s">
        <v>7</v>
      </c>
      <c r="C11" s="45">
        <v>21</v>
      </c>
      <c r="D11" s="61">
        <v>51</v>
      </c>
      <c r="E11" s="45">
        <f t="shared" si="0"/>
        <v>-30</v>
      </c>
      <c r="F11" s="61">
        <v>8</v>
      </c>
      <c r="G11" s="45">
        <f t="shared" si="1"/>
        <v>13</v>
      </c>
      <c r="H11" s="7"/>
    </row>
    <row r="12" spans="2:11" x14ac:dyDescent="0.2">
      <c r="B12" s="5" t="s">
        <v>8</v>
      </c>
      <c r="C12" s="45">
        <v>42</v>
      </c>
      <c r="D12" s="61">
        <v>85</v>
      </c>
      <c r="E12" s="45">
        <f t="shared" si="0"/>
        <v>-43</v>
      </c>
      <c r="F12" s="61">
        <v>44</v>
      </c>
      <c r="G12" s="45">
        <f t="shared" si="1"/>
        <v>-2</v>
      </c>
      <c r="H12" s="7"/>
    </row>
    <row r="13" spans="2:11" x14ac:dyDescent="0.2">
      <c r="B13" s="5" t="s">
        <v>9</v>
      </c>
      <c r="C13" s="45">
        <v>44</v>
      </c>
      <c r="D13" s="61">
        <v>51</v>
      </c>
      <c r="E13" s="45">
        <f t="shared" si="0"/>
        <v>-7</v>
      </c>
      <c r="F13" s="61">
        <v>35</v>
      </c>
      <c r="G13" s="45">
        <f t="shared" si="1"/>
        <v>9</v>
      </c>
      <c r="H13" s="7"/>
    </row>
    <row r="14" spans="2:11" x14ac:dyDescent="0.2">
      <c r="B14" s="5" t="s">
        <v>10</v>
      </c>
      <c r="C14" s="45">
        <v>34</v>
      </c>
      <c r="D14" s="61">
        <v>52</v>
      </c>
      <c r="E14" s="45">
        <f t="shared" si="0"/>
        <v>-18</v>
      </c>
      <c r="F14" s="61">
        <v>52</v>
      </c>
      <c r="G14" s="45">
        <f t="shared" si="1"/>
        <v>-18</v>
      </c>
      <c r="H14" s="7"/>
    </row>
    <row r="15" spans="2:11" x14ac:dyDescent="0.2">
      <c r="B15" s="5" t="s">
        <v>11</v>
      </c>
      <c r="C15" s="45">
        <v>66</v>
      </c>
      <c r="D15" s="61">
        <v>136</v>
      </c>
      <c r="E15" s="45">
        <f t="shared" si="0"/>
        <v>-70</v>
      </c>
      <c r="F15" s="61">
        <v>101</v>
      </c>
      <c r="G15" s="45">
        <f t="shared" si="1"/>
        <v>-35</v>
      </c>
      <c r="H15" s="7"/>
    </row>
    <row r="16" spans="2:11" x14ac:dyDescent="0.2">
      <c r="B16" s="5" t="s">
        <v>12</v>
      </c>
      <c r="C16" s="45">
        <v>51</v>
      </c>
      <c r="D16" s="61">
        <v>88</v>
      </c>
      <c r="E16" s="45">
        <f t="shared" si="0"/>
        <v>-37</v>
      </c>
      <c r="F16" s="61">
        <v>64</v>
      </c>
      <c r="G16" s="45">
        <f t="shared" si="1"/>
        <v>-13</v>
      </c>
      <c r="H16" s="7"/>
    </row>
    <row r="17" spans="2:8" x14ac:dyDescent="0.2">
      <c r="B17" s="5" t="s">
        <v>13</v>
      </c>
      <c r="C17" s="45">
        <v>8</v>
      </c>
      <c r="D17" s="61">
        <v>49</v>
      </c>
      <c r="E17" s="45">
        <f t="shared" si="0"/>
        <v>-41</v>
      </c>
      <c r="F17" s="61">
        <v>26</v>
      </c>
      <c r="G17" s="45">
        <f t="shared" si="1"/>
        <v>-18</v>
      </c>
      <c r="H17" s="7"/>
    </row>
    <row r="18" spans="2:8" x14ac:dyDescent="0.2">
      <c r="B18" s="5" t="s">
        <v>14</v>
      </c>
      <c r="C18" s="45">
        <v>84</v>
      </c>
      <c r="D18" s="61">
        <v>121</v>
      </c>
      <c r="E18" s="45">
        <f t="shared" si="0"/>
        <v>-37</v>
      </c>
      <c r="F18" s="61">
        <v>94</v>
      </c>
      <c r="G18" s="45">
        <f t="shared" si="1"/>
        <v>-10</v>
      </c>
      <c r="H18" s="7"/>
    </row>
    <row r="19" spans="2:8" x14ac:dyDescent="0.2">
      <c r="B19" s="5" t="s">
        <v>15</v>
      </c>
      <c r="C19" s="45">
        <v>34</v>
      </c>
      <c r="D19" s="61">
        <v>95</v>
      </c>
      <c r="E19" s="45">
        <f t="shared" si="0"/>
        <v>-61</v>
      </c>
      <c r="F19" s="61">
        <v>54</v>
      </c>
      <c r="G19" s="45">
        <f t="shared" si="1"/>
        <v>-20</v>
      </c>
      <c r="H19" s="7"/>
    </row>
    <row r="20" spans="2:8" x14ac:dyDescent="0.2">
      <c r="B20" s="5" t="s">
        <v>16</v>
      </c>
      <c r="C20" s="45">
        <v>37</v>
      </c>
      <c r="D20" s="61">
        <v>41</v>
      </c>
      <c r="E20" s="45">
        <f t="shared" si="0"/>
        <v>-4</v>
      </c>
      <c r="F20" s="61">
        <v>49</v>
      </c>
      <c r="G20" s="45">
        <f t="shared" si="1"/>
        <v>-12</v>
      </c>
      <c r="H20" s="7"/>
    </row>
    <row r="21" spans="2:8" x14ac:dyDescent="0.2">
      <c r="B21" s="5" t="s">
        <v>17</v>
      </c>
      <c r="C21" s="45">
        <v>34</v>
      </c>
      <c r="D21" s="61">
        <v>59</v>
      </c>
      <c r="E21" s="45">
        <f t="shared" si="0"/>
        <v>-25</v>
      </c>
      <c r="F21" s="61">
        <v>57</v>
      </c>
      <c r="G21" s="45">
        <f t="shared" si="1"/>
        <v>-23</v>
      </c>
      <c r="H21" s="7"/>
    </row>
    <row r="22" spans="2:8" x14ac:dyDescent="0.2">
      <c r="B22" s="5" t="s">
        <v>18</v>
      </c>
      <c r="C22" s="45">
        <v>34</v>
      </c>
      <c r="D22" s="61">
        <v>63</v>
      </c>
      <c r="E22" s="45">
        <f t="shared" si="0"/>
        <v>-29</v>
      </c>
      <c r="F22" s="61">
        <v>70</v>
      </c>
      <c r="G22" s="45">
        <f t="shared" si="1"/>
        <v>-36</v>
      </c>
      <c r="H22" s="7"/>
    </row>
    <row r="23" spans="2:8" x14ac:dyDescent="0.2">
      <c r="B23" s="5" t="s">
        <v>19</v>
      </c>
      <c r="C23" s="45">
        <v>94</v>
      </c>
      <c r="D23" s="61">
        <v>93</v>
      </c>
      <c r="E23" s="45">
        <f t="shared" si="0"/>
        <v>1</v>
      </c>
      <c r="F23" s="61">
        <v>80</v>
      </c>
      <c r="G23" s="45">
        <f t="shared" si="1"/>
        <v>14</v>
      </c>
      <c r="H23" s="7"/>
    </row>
    <row r="24" spans="2:8" x14ac:dyDescent="0.2">
      <c r="B24" s="5" t="s">
        <v>20</v>
      </c>
      <c r="C24" s="45">
        <v>25</v>
      </c>
      <c r="D24" s="61">
        <v>24</v>
      </c>
      <c r="E24" s="45">
        <f t="shared" si="0"/>
        <v>1</v>
      </c>
      <c r="F24" s="61">
        <v>42</v>
      </c>
      <c r="G24" s="45">
        <f t="shared" si="1"/>
        <v>-17</v>
      </c>
      <c r="H24" s="7"/>
    </row>
    <row r="25" spans="2:8" x14ac:dyDescent="0.2">
      <c r="B25" s="5" t="s">
        <v>21</v>
      </c>
      <c r="C25" s="45">
        <v>29</v>
      </c>
      <c r="D25" s="61">
        <v>27</v>
      </c>
      <c r="E25" s="45">
        <f t="shared" si="0"/>
        <v>2</v>
      </c>
      <c r="F25" s="61">
        <v>27</v>
      </c>
      <c r="G25" s="45">
        <f t="shared" si="1"/>
        <v>2</v>
      </c>
      <c r="H25" s="7"/>
    </row>
    <row r="26" spans="2:8" x14ac:dyDescent="0.2">
      <c r="B26" s="5" t="s">
        <v>22</v>
      </c>
      <c r="C26" s="45">
        <v>36</v>
      </c>
      <c r="D26" s="61">
        <v>56</v>
      </c>
      <c r="E26" s="45">
        <f t="shared" si="0"/>
        <v>-20</v>
      </c>
      <c r="F26" s="61">
        <v>48</v>
      </c>
      <c r="G26" s="45">
        <f t="shared" si="1"/>
        <v>-12</v>
      </c>
      <c r="H26" s="7"/>
    </row>
    <row r="27" spans="2:8" x14ac:dyDescent="0.2">
      <c r="B27" s="5" t="s">
        <v>23</v>
      </c>
      <c r="C27" s="45">
        <v>123</v>
      </c>
      <c r="D27" s="61">
        <v>73</v>
      </c>
      <c r="E27" s="45">
        <f t="shared" si="0"/>
        <v>50</v>
      </c>
      <c r="F27" s="61">
        <v>94</v>
      </c>
      <c r="G27" s="45">
        <f t="shared" si="1"/>
        <v>29</v>
      </c>
      <c r="H27" s="7"/>
    </row>
    <row r="28" spans="2:8" x14ac:dyDescent="0.2">
      <c r="B28" s="5" t="s">
        <v>24</v>
      </c>
      <c r="C28" s="45">
        <v>20</v>
      </c>
      <c r="D28" s="61">
        <v>30</v>
      </c>
      <c r="E28" s="45">
        <f t="shared" si="0"/>
        <v>-10</v>
      </c>
      <c r="F28" s="61">
        <v>54</v>
      </c>
      <c r="G28" s="45">
        <f t="shared" si="1"/>
        <v>-34</v>
      </c>
      <c r="H28" s="7"/>
    </row>
    <row r="29" spans="2:8" ht="15" x14ac:dyDescent="0.25">
      <c r="B29" s="58" t="s">
        <v>25</v>
      </c>
      <c r="C29" s="78">
        <f>SUM(C4:C28)</f>
        <v>1240</v>
      </c>
      <c r="D29" s="63">
        <f>SUM(D4:D28)</f>
        <v>1667</v>
      </c>
      <c r="E29" s="78">
        <f>SUM(E4:E28)</f>
        <v>-427</v>
      </c>
      <c r="F29" s="63">
        <f>SUM(F4:F28)</f>
        <v>1429</v>
      </c>
      <c r="G29" s="78">
        <f>SUM(G4:G28)</f>
        <v>-189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</sheetPr>
  <dimension ref="B1:X30"/>
  <sheetViews>
    <sheetView zoomScale="70" zoomScaleNormal="7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" style="3" customWidth="1"/>
    <col min="4" max="4" width="15" style="3" customWidth="1"/>
    <col min="5" max="5" width="14.42578125" style="3" customWidth="1"/>
    <col min="6" max="6" width="14.85546875" style="3" customWidth="1"/>
    <col min="7" max="7" width="15.5703125" style="3" customWidth="1"/>
    <col min="8" max="8" width="17" style="3" customWidth="1"/>
    <col min="9" max="9" width="2.5703125" style="3" customWidth="1"/>
    <col min="10" max="19" width="9.140625" style="3"/>
    <col min="20" max="20" width="2.7109375" style="3" customWidth="1"/>
    <col min="21" max="22" width="9.140625" style="3"/>
    <col min="23" max="23" width="25" style="3" customWidth="1"/>
    <col min="24" max="24" width="16.42578125" style="3" customWidth="1"/>
    <col min="25" max="16384" width="9.140625" style="3"/>
  </cols>
  <sheetData>
    <row r="1" spans="2:24" x14ac:dyDescent="0.2">
      <c r="B1" s="2" t="s">
        <v>32</v>
      </c>
      <c r="V1" s="2" t="s">
        <v>103</v>
      </c>
    </row>
    <row r="2" spans="2:24" ht="15" x14ac:dyDescent="0.2">
      <c r="C2" s="20"/>
      <c r="D2" s="21"/>
      <c r="W2" s="20"/>
      <c r="X2" s="21"/>
    </row>
    <row r="3" spans="2:24" ht="69" customHeight="1" x14ac:dyDescent="0.2">
      <c r="B3" s="62" t="s">
        <v>88</v>
      </c>
      <c r="C3" s="55" t="str">
        <f>T('1bezr.'!B2)</f>
        <v>powiaty</v>
      </c>
      <c r="D3" s="56" t="str">
        <f>T('1bezr.'!C2)</f>
        <v>liczba bezrobotnych ogółem stan na 31 VII '23 r.</v>
      </c>
      <c r="E3" s="57" t="str">
        <f>T('1bezr.'!D2)</f>
        <v>liczba bezrobotnych ogółem stan na 30 VI '23 r.</v>
      </c>
      <c r="F3" s="56" t="str">
        <f>T('1bezr.'!E2)</f>
        <v>wzrost/spadek do miesiąca poprzedniego</v>
      </c>
      <c r="G3" s="57" t="str">
        <f>T('1bezr.'!F2)</f>
        <v>liczba bezrobotnych ogółem stan na 31 VII '22 r.</v>
      </c>
      <c r="H3" s="56" t="str">
        <f>T('1bezr.'!G2)</f>
        <v>wzrost/spadek do analogicznego okresu ubr.</v>
      </c>
      <c r="V3" s="62" t="s">
        <v>88</v>
      </c>
      <c r="W3" s="55" t="str">
        <f>T('1bezr.'!B2)</f>
        <v>powiaty</v>
      </c>
      <c r="X3" s="56" t="str">
        <f>T('1bezr.'!E2)</f>
        <v>wzrost/spadek do miesiąca poprzedniego</v>
      </c>
    </row>
    <row r="4" spans="2:24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5">
        <f>INDEX('1bezr.'!B3:G28,MATCH(1,B4:B29,0),2)</f>
        <v>716</v>
      </c>
      <c r="E4" s="61">
        <f>INDEX('1bezr.'!B3:G28,MATCH(1,B4:B29,0),3)</f>
        <v>725</v>
      </c>
      <c r="F4" s="6">
        <f>INDEX('1bezr.'!B3:G28,MATCH(1,B4:B29,0),4)</f>
        <v>-9</v>
      </c>
      <c r="G4" s="61">
        <f>INDEX('1bezr.'!B3:G28,MATCH(1,B4:B29,0),5)</f>
        <v>741</v>
      </c>
      <c r="H4" s="6">
        <f>INDEX('1bezr.'!B3:G28,MATCH(1,B4:B29,0),6)</f>
        <v>-25</v>
      </c>
      <c r="V4" s="6">
        <f>RANK('1bezr.'!E3,'1bezr.'!$E$3:'1bezr.'!$E$28,1)+COUNTIF('1bezr.'!$E$3:'1bezr.'!E3,'1bezr.'!E3)-1</f>
        <v>10</v>
      </c>
      <c r="W4" s="80" t="str">
        <f>INDEX('1bezr.'!B3:G28,MATCH(1,V4:V29,0),1)</f>
        <v>leski</v>
      </c>
      <c r="X4" s="79">
        <f>INDEX('1bezr.'!E3:G28,MATCH(1,V4:V29,0),1)</f>
        <v>-61</v>
      </c>
    </row>
    <row r="5" spans="2:24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997</v>
      </c>
      <c r="E5" s="61">
        <f>INDEX('1bezr.'!B3:G28,MATCH(2,B4:B29,0),3)</f>
        <v>984</v>
      </c>
      <c r="F5" s="6">
        <f>INDEX('1bezr.'!B3:G28,MATCH(2,B4:B29,0),4)</f>
        <v>13</v>
      </c>
      <c r="G5" s="61">
        <f>INDEX('1bezr.'!B3:G28,MATCH(2,B4:B29,0),5)</f>
        <v>1019</v>
      </c>
      <c r="H5" s="6">
        <f>INDEX('1bezr.'!B3:G28,MATCH(2,B4:B29,0),6)</f>
        <v>-22</v>
      </c>
      <c r="V5" s="6">
        <f>RANK('1bezr.'!E4,'1bezr.'!$E$3:'1bezr.'!$E$28,1)+COUNTIF('1bezr.'!$E$3:'1bezr.'!E4,'1bezr.'!E4)-1</f>
        <v>23</v>
      </c>
      <c r="W5" s="80" t="str">
        <f>INDEX('1bezr.'!B3:G28,MATCH(2,V4:V29,0),1)</f>
        <v>przemyski</v>
      </c>
      <c r="X5" s="6">
        <f>INDEX('1bezr.'!E3:G28,MATCH(2,V4:V29,0),1)</f>
        <v>-54</v>
      </c>
    </row>
    <row r="6" spans="2:24" x14ac:dyDescent="0.2">
      <c r="B6" s="6">
        <f>RANK('1bezr.'!C5,'1bezr.'!$C$3:'1bezr.'!$C$28,1)+COUNTIF('1bezr.'!$C$3:'1bezr.'!C5,'1bezr.'!C5)-1</f>
        <v>11</v>
      </c>
      <c r="C6" s="5" t="str">
        <f>INDEX('1bezr.'!B3:G28,MATCH(3,B4:B29,0),1)</f>
        <v>Tarnobrzeg</v>
      </c>
      <c r="D6" s="6">
        <f>INDEX('1bezr.'!B3:G28,MATCH(3,B4:B29,0),2)</f>
        <v>1075</v>
      </c>
      <c r="E6" s="61">
        <f>INDEX('1bezr.'!B3:G28,MATCH(3,B4:B29,0),3)</f>
        <v>1035</v>
      </c>
      <c r="F6" s="6">
        <f>INDEX('1bezr.'!B3:G28,MATCH(3,B4:B29,0),4)</f>
        <v>40</v>
      </c>
      <c r="G6" s="61">
        <f>INDEX('1bezr.'!B3:G28,MATCH(3,B4:B29,0),5)</f>
        <v>1151</v>
      </c>
      <c r="H6" s="6">
        <f>INDEX('1bezr.'!B3:G28,MATCH(3,B4:B29,0),6)</f>
        <v>-76</v>
      </c>
      <c r="V6" s="6">
        <f>RANK('1bezr.'!E5,'1bezr.'!$E$3:'1bezr.'!$E$28,1)+COUNTIF('1bezr.'!$E$3:'1bezr.'!E5,'1bezr.'!E5)-1</f>
        <v>7</v>
      </c>
      <c r="W6" s="80" t="str">
        <f>INDEX('1bezr.'!B3:G28,MATCH(3,V4:V29,0),1)</f>
        <v>Przemyśl</v>
      </c>
      <c r="X6" s="6">
        <f>INDEX('1bezr.'!E3:G28,MATCH(3,V4:V29,0),1)</f>
        <v>-41</v>
      </c>
    </row>
    <row r="7" spans="2:24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1233</v>
      </c>
      <c r="E7" s="61">
        <f>INDEX('1bezr.'!B3:G28,MATCH(4,B4:B29,0),3)</f>
        <v>1209</v>
      </c>
      <c r="F7" s="6">
        <f>INDEX('1bezr.'!B3:G28,MATCH(4,B4:B29,0),4)</f>
        <v>24</v>
      </c>
      <c r="G7" s="61">
        <f>INDEX('1bezr.'!B3:G28,MATCH(4,B4:B29,0),5)</f>
        <v>1311</v>
      </c>
      <c r="H7" s="6">
        <f>INDEX('1bezr.'!B3:G28,MATCH(4,B4:B29,0),6)</f>
        <v>-78</v>
      </c>
      <c r="V7" s="6">
        <f>RANK('1bezr.'!E6,'1bezr.'!$E$3:'1bezr.'!$E$28,1)+COUNTIF('1bezr.'!$E$3:'1bezr.'!E6,'1bezr.'!E6)-1</f>
        <v>4</v>
      </c>
      <c r="W7" s="80" t="str">
        <f>INDEX('1bezr.'!B3:G28,MATCH(4,V4:V29,0),1)</f>
        <v>jarosławski</v>
      </c>
      <c r="X7" s="6">
        <f>INDEX('1bezr.'!E3:G28,MATCH(4,V4:V29,0),1)</f>
        <v>-26</v>
      </c>
    </row>
    <row r="8" spans="2:24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leski</v>
      </c>
      <c r="D8" s="6">
        <f>INDEX('1bezr.'!B3:G28,MATCH(5,B4:B29,0),2)</f>
        <v>1510</v>
      </c>
      <c r="E8" s="61">
        <f>INDEX('1bezr.'!B3:G28,MATCH(5,B4:B29,0),3)</f>
        <v>1571</v>
      </c>
      <c r="F8" s="6">
        <f>INDEX('1bezr.'!B3:G28,MATCH(5,B4:B29,0),4)</f>
        <v>-61</v>
      </c>
      <c r="G8" s="61">
        <f>INDEX('1bezr.'!B3:G28,MATCH(5,B4:B29,0),5)</f>
        <v>1559</v>
      </c>
      <c r="H8" s="6">
        <f>INDEX('1bezr.'!B3:G28,MATCH(5,B4:B29,0),6)</f>
        <v>-49</v>
      </c>
      <c r="V8" s="6">
        <f>RANK('1bezr.'!E7,'1bezr.'!$E$3:'1bezr.'!$E$28,1)+COUNTIF('1bezr.'!$E$3:'1bezr.'!E7,'1bezr.'!E7)-1</f>
        <v>14</v>
      </c>
      <c r="W8" s="80" t="str">
        <f>INDEX('1bezr.'!B3:G28,MATCH(5,V4:V29,0),1)</f>
        <v>strzyżowski</v>
      </c>
      <c r="X8" s="6">
        <f>INDEX('1bezr.'!E3:G28,MATCH(5,V4:V29,0),1)</f>
        <v>-13</v>
      </c>
    </row>
    <row r="9" spans="2:24" x14ac:dyDescent="0.2">
      <c r="B9" s="6">
        <f>RANK('1bezr.'!C8,'1bezr.'!$C$3:'1bezr.'!$C$28,1)+COUNTIF('1bezr.'!$C$3:'1bezr.'!C8,'1bezr.'!C8)-1</f>
        <v>6</v>
      </c>
      <c r="C9" s="5" t="str">
        <f>INDEX('1bezr.'!B3:G28,MATCH(6,B4:B29,0),1)</f>
        <v>kolbuszowski</v>
      </c>
      <c r="D9" s="6">
        <f>INDEX('1bezr.'!B3:G28,MATCH(6,B4:B29,0),2)</f>
        <v>1528</v>
      </c>
      <c r="E9" s="61">
        <f>INDEX('1bezr.'!B3:G28,MATCH(6,B4:B29,0),3)</f>
        <v>1519</v>
      </c>
      <c r="F9" s="6">
        <f>INDEX('1bezr.'!B3:G28,MATCH(6,B4:B29,0),4)</f>
        <v>9</v>
      </c>
      <c r="G9" s="61">
        <f>INDEX('1bezr.'!B3:G28,MATCH(6,B4:B29,0),5)</f>
        <v>1636</v>
      </c>
      <c r="H9" s="6">
        <f>INDEX('1bezr.'!B3:G28,MATCH(6,B4:B29,0),6)</f>
        <v>-108</v>
      </c>
      <c r="V9" s="6">
        <f>RANK('1bezr.'!E8,'1bezr.'!$E$3:'1bezr.'!$E$28,1)+COUNTIF('1bezr.'!$E$3:'1bezr.'!E8,'1bezr.'!E8)-1</f>
        <v>8</v>
      </c>
      <c r="W9" s="80" t="str">
        <f>INDEX('1bezr.'!B3:G28,MATCH(6,V4:V29,0),1)</f>
        <v>Krosno</v>
      </c>
      <c r="X9" s="6">
        <f>INDEX('1bezr.'!E3:G28,MATCH(6,V4:V29,0),1)</f>
        <v>-9</v>
      </c>
    </row>
    <row r="10" spans="2:24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1616</v>
      </c>
      <c r="E10" s="61">
        <f>INDEX('1bezr.'!B3:G28,MATCH(7,B4:B29,0),3)</f>
        <v>1573</v>
      </c>
      <c r="F10" s="6">
        <f>INDEX('1bezr.'!B3:G28,MATCH(7,B4:B29,0),4)</f>
        <v>43</v>
      </c>
      <c r="G10" s="61">
        <f>INDEX('1bezr.'!B3:G28,MATCH(7,B4:B29,0),5)</f>
        <v>1613</v>
      </c>
      <c r="H10" s="6">
        <f>INDEX('1bezr.'!B3:G28,MATCH(7,B4:B29,0),6)</f>
        <v>3</v>
      </c>
      <c r="V10" s="6">
        <f>RANK('1bezr.'!E9,'1bezr.'!$E$3:'1bezr.'!$E$28,1)+COUNTIF('1bezr.'!$E$3:'1bezr.'!E9,'1bezr.'!E9)-1</f>
        <v>13</v>
      </c>
      <c r="W10" s="81" t="str">
        <f>INDEX('1bezr.'!B3:G28,MATCH(7,V4:V29,0),1)</f>
        <v>dębicki</v>
      </c>
      <c r="X10" s="6">
        <f>INDEX('1bezr.'!E3:G28,MATCH(7,V4:V29,0),1)</f>
        <v>-7</v>
      </c>
    </row>
    <row r="11" spans="2:24" x14ac:dyDescent="0.2">
      <c r="B11" s="6">
        <f>RANK('1bezr.'!C10,'1bezr.'!$C$3:'1bezr.'!$C$28,1)+COUNTIF('1bezr.'!$C$3:'1bezr.'!C10,'1bezr.'!C10)-1</f>
        <v>5</v>
      </c>
      <c r="C11" s="5" t="str">
        <f>INDEX('1bezr.'!B3:G28,MATCH(8,B4:B29,0),1)</f>
        <v>stalowowolski</v>
      </c>
      <c r="D11" s="6">
        <f>INDEX('1bezr.'!B3:G28,MATCH(8,B4:B29,0),2)</f>
        <v>1891</v>
      </c>
      <c r="E11" s="61">
        <f>INDEX('1bezr.'!B3:G28,MATCH(8,B4:B29,0),3)</f>
        <v>1853</v>
      </c>
      <c r="F11" s="6">
        <f>INDEX('1bezr.'!B3:G28,MATCH(8,B4:B29,0),4)</f>
        <v>38</v>
      </c>
      <c r="G11" s="61">
        <f>INDEX('1bezr.'!B3:G28,MATCH(8,B4:B29,0),5)</f>
        <v>2003</v>
      </c>
      <c r="H11" s="6">
        <f>INDEX('1bezr.'!B3:G28,MATCH(8,B4:B29,0),6)</f>
        <v>-112</v>
      </c>
      <c r="V11" s="6">
        <f>RANK('1bezr.'!E10,'1bezr.'!$E$3:'1bezr.'!$E$28,1)+COUNTIF('1bezr.'!$E$3:'1bezr.'!E10,'1bezr.'!E10)-1</f>
        <v>1</v>
      </c>
      <c r="W11" s="80" t="str">
        <f>INDEX('1bezr.'!B3:G28,MATCH(8,V4:V29,0),1)</f>
        <v>kolbuszowski</v>
      </c>
      <c r="X11" s="6">
        <f>INDEX('1bezr.'!E3:G28,MATCH(8,V4:V29,0),1)</f>
        <v>9</v>
      </c>
    </row>
    <row r="12" spans="2:24" x14ac:dyDescent="0.2">
      <c r="B12" s="6">
        <f>RANK('1bezr.'!C11,'1bezr.'!$C$3:'1bezr.'!$C$28,1)+COUNTIF('1bezr.'!$C$3:'1bezr.'!C11,'1bezr.'!C11)-1</f>
        <v>17</v>
      </c>
      <c r="C12" s="5" t="str">
        <f>INDEX('1bezr.'!B3:G28,MATCH(9,B4:B29,0),1)</f>
        <v>krośnieński</v>
      </c>
      <c r="D12" s="6">
        <f>INDEX('1bezr.'!B3:G28,MATCH(9,B4:B29,0),2)</f>
        <v>2095</v>
      </c>
      <c r="E12" s="61">
        <f>INDEX('1bezr.'!B3:G28,MATCH(9,B4:B29,0),3)</f>
        <v>2076</v>
      </c>
      <c r="F12" s="6">
        <f>INDEX('1bezr.'!B3:G28,MATCH(9,B4:B29,0),4)</f>
        <v>19</v>
      </c>
      <c r="G12" s="61">
        <f>INDEX('1bezr.'!B3:G28,MATCH(9,B4:B29,0),5)</f>
        <v>1859</v>
      </c>
      <c r="H12" s="6">
        <f>INDEX('1bezr.'!B3:G28,MATCH(9,B4:B29,0),6)</f>
        <v>236</v>
      </c>
      <c r="V12" s="6">
        <f>RANK('1bezr.'!E11,'1bezr.'!$E$3:'1bezr.'!$E$28,1)+COUNTIF('1bezr.'!$E$3:'1bezr.'!E11,'1bezr.'!E11)-1</f>
        <v>18</v>
      </c>
      <c r="W12" s="80" t="str">
        <f>INDEX('1bezr.'!B3:G28,MATCH(9,V4:V29,0),1)</f>
        <v>ropczycko-sędziszowski</v>
      </c>
      <c r="X12" s="6">
        <f>INDEX('1bezr.'!E3:G28,MATCH(9,V4:V29,0),1)</f>
        <v>10</v>
      </c>
    </row>
    <row r="13" spans="2:24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2374</v>
      </c>
      <c r="E13" s="61">
        <f>INDEX('1bezr.'!B3:G28,MATCH(10,B4:B29,0),3)</f>
        <v>2415</v>
      </c>
      <c r="F13" s="6">
        <f>INDEX('1bezr.'!B3:G28,MATCH(10,B4:B29,0),4)</f>
        <v>-41</v>
      </c>
      <c r="G13" s="61">
        <f>INDEX('1bezr.'!B3:G28,MATCH(10,B4:B29,0),5)</f>
        <v>2513</v>
      </c>
      <c r="H13" s="6">
        <f>INDEX('1bezr.'!B3:G28,MATCH(10,B4:B29,0),6)</f>
        <v>-139</v>
      </c>
      <c r="V13" s="6">
        <f>RANK('1bezr.'!E12,'1bezr.'!$E$3:'1bezr.'!$E$28,1)+COUNTIF('1bezr.'!$E$3:'1bezr.'!E12,'1bezr.'!E12)-1</f>
        <v>21</v>
      </c>
      <c r="W13" s="80" t="str">
        <f>INDEX('1bezr.'!B3:G28,MATCH(10,V4:V29,0),1)</f>
        <v>bieszczadzki</v>
      </c>
      <c r="X13" s="6">
        <f>INDEX('1bezr.'!E3:G28,MATCH(10,V4:V29,0),1)</f>
        <v>13</v>
      </c>
    </row>
    <row r="14" spans="2:24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dębicki</v>
      </c>
      <c r="D14" s="6">
        <f>INDEX('1bezr.'!B3:G28,MATCH(11,B4:B29,0),2)</f>
        <v>2386</v>
      </c>
      <c r="E14" s="61">
        <f>INDEX('1bezr.'!B3:G28,MATCH(11,B4:B29,0),3)</f>
        <v>2393</v>
      </c>
      <c r="F14" s="6">
        <f>INDEX('1bezr.'!B3:G28,MATCH(11,B4:B29,0),4)</f>
        <v>-7</v>
      </c>
      <c r="G14" s="61">
        <f>INDEX('1bezr.'!B3:G28,MATCH(11,B4:B29,0),5)</f>
        <v>2426</v>
      </c>
      <c r="H14" s="6">
        <f>INDEX('1bezr.'!B3:G28,MATCH(11,B4:B29,0),6)</f>
        <v>-40</v>
      </c>
      <c r="V14" s="6">
        <f>RANK('1bezr.'!E13,'1bezr.'!$E$3:'1bezr.'!$E$28,1)+COUNTIF('1bezr.'!$E$3:'1bezr.'!E13,'1bezr.'!E13)-1</f>
        <v>22</v>
      </c>
      <c r="W14" s="80" t="str">
        <f>INDEX('1bezr.'!B3:G28,MATCH(11,V4:V29,0),1)</f>
        <v>sanocki</v>
      </c>
      <c r="X14" s="6">
        <f>INDEX('1bezr.'!E3:G28,MATCH(11,V4:V29,0),1)</f>
        <v>13</v>
      </c>
    </row>
    <row r="15" spans="2:24" x14ac:dyDescent="0.2">
      <c r="B15" s="6">
        <f>RANK('1bezr.'!C14,'1bezr.'!$C$3:'1bezr.'!$C$28,1)+COUNTIF('1bezr.'!$C$3:'1bezr.'!C14,'1bezr.'!C14)-1</f>
        <v>16</v>
      </c>
      <c r="C15" s="5" t="str">
        <f>INDEX('1bezr.'!B3:G28,MATCH(12,B4:B29,0),1)</f>
        <v>łańcucki</v>
      </c>
      <c r="D15" s="6">
        <f>INDEX('1bezr.'!B3:G28,MATCH(12,B4:B29,0),2)</f>
        <v>2519</v>
      </c>
      <c r="E15" s="61">
        <f>INDEX('1bezr.'!B3:G28,MATCH(12,B4:B29,0),3)</f>
        <v>2476</v>
      </c>
      <c r="F15" s="6">
        <f>INDEX('1bezr.'!B3:G28,MATCH(12,B4:B29,0),4)</f>
        <v>43</v>
      </c>
      <c r="G15" s="61">
        <f>INDEX('1bezr.'!B3:G28,MATCH(12,B4:B29,0),5)</f>
        <v>2782</v>
      </c>
      <c r="H15" s="6">
        <f>INDEX('1bezr.'!B3:G28,MATCH(12,B4:B29,0),6)</f>
        <v>-263</v>
      </c>
      <c r="V15" s="6">
        <f>RANK('1bezr.'!E14,'1bezr.'!$E$3:'1bezr.'!$E$28,1)+COUNTIF('1bezr.'!$E$3:'1bezr.'!E14,'1bezr.'!E14)-1</f>
        <v>24</v>
      </c>
      <c r="W15" s="80" t="str">
        <f>INDEX('1bezr.'!B3:G28,MATCH(12,V4:V29,0),1)</f>
        <v>Rzeszów</v>
      </c>
      <c r="X15" s="6">
        <f>INDEX('1bezr.'!E3:G28,MATCH(12,V4:V29,0),1)</f>
        <v>16</v>
      </c>
    </row>
    <row r="16" spans="2:24" x14ac:dyDescent="0.2">
      <c r="B16" s="6">
        <f>RANK('1bezr.'!C15,'1bezr.'!$C$3:'1bezr.'!$C$28,1)+COUNTIF('1bezr.'!$C$3:'1bezr.'!C15,'1bezr.'!C15)-1</f>
        <v>19</v>
      </c>
      <c r="C16" s="5" t="str">
        <f>INDEX('1bezr.'!B3:G28,MATCH(13,B4:B29,0),1)</f>
        <v>ropczycko-sędziszowski</v>
      </c>
      <c r="D16" s="6">
        <f>INDEX('1bezr.'!B3:G28,MATCH(13,B4:B29,0),2)</f>
        <v>2569</v>
      </c>
      <c r="E16" s="61">
        <f>INDEX('1bezr.'!B3:G28,MATCH(13,B4:B29,0),3)</f>
        <v>2559</v>
      </c>
      <c r="F16" s="6">
        <f>INDEX('1bezr.'!B3:G28,MATCH(13,B4:B29,0),4)</f>
        <v>10</v>
      </c>
      <c r="G16" s="61">
        <f>INDEX('1bezr.'!B3:G28,MATCH(13,B4:B29,0),5)</f>
        <v>2964</v>
      </c>
      <c r="H16" s="6">
        <f>INDEX('1bezr.'!B3:G28,MATCH(13,B4:B29,0),6)</f>
        <v>-395</v>
      </c>
      <c r="V16" s="6">
        <f>RANK('1bezr.'!E15,'1bezr.'!$E$3:'1bezr.'!$E$28,1)+COUNTIF('1bezr.'!$E$3:'1bezr.'!E15,'1bezr.'!E15)-1</f>
        <v>15</v>
      </c>
      <c r="W16" s="80" t="str">
        <f>INDEX('1bezr.'!B3:G28,MATCH(13,V4:V29,0),1)</f>
        <v>krośnieński</v>
      </c>
      <c r="X16" s="6">
        <f>INDEX('1bezr.'!E3:G28,MATCH(13,V4:V29,0),1)</f>
        <v>19</v>
      </c>
    </row>
    <row r="17" spans="2:24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2657</v>
      </c>
      <c r="E17" s="61">
        <f>INDEX('1bezr.'!B3:G28,MATCH(14,B4:B29,0),3)</f>
        <v>2644</v>
      </c>
      <c r="F17" s="6">
        <f>INDEX('1bezr.'!B3:G28,MATCH(14,B4:B29,0),4)</f>
        <v>13</v>
      </c>
      <c r="G17" s="61">
        <f>INDEX('1bezr.'!B3:G28,MATCH(14,B4:B29,0),5)</f>
        <v>2415</v>
      </c>
      <c r="H17" s="6">
        <f>INDEX('1bezr.'!B3:G28,MATCH(14,B4:B29,0),6)</f>
        <v>242</v>
      </c>
      <c r="V17" s="6">
        <f>RANK('1bezr.'!E16,'1bezr.'!$E$3:'1bezr.'!$E$28,1)+COUNTIF('1bezr.'!$E$3:'1bezr.'!E16,'1bezr.'!E16)-1</f>
        <v>2</v>
      </c>
      <c r="W17" s="80" t="str">
        <f>INDEX('1bezr.'!B3:G28,MATCH(14,V4:V29,0),1)</f>
        <v>jasielski</v>
      </c>
      <c r="X17" s="6">
        <f>INDEX('1bezr.'!E3:G28,MATCH(14,V4:V29,0),1)</f>
        <v>23</v>
      </c>
    </row>
    <row r="18" spans="2:24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2740</v>
      </c>
      <c r="E18" s="61">
        <f>INDEX('1bezr.'!B3:G28,MATCH(15,B4:B29,0),3)</f>
        <v>2794</v>
      </c>
      <c r="F18" s="6">
        <f>INDEX('1bezr.'!B3:G28,MATCH(15,B4:B29,0),4)</f>
        <v>-54</v>
      </c>
      <c r="G18" s="61">
        <f>INDEX('1bezr.'!B3:G28,MATCH(15,B4:B29,0),5)</f>
        <v>2975</v>
      </c>
      <c r="H18" s="6">
        <f>INDEX('1bezr.'!B3:G28,MATCH(15,B4:B29,0),6)</f>
        <v>-235</v>
      </c>
      <c r="V18" s="6">
        <f>RANK('1bezr.'!E17,'1bezr.'!$E$3:'1bezr.'!$E$28,1)+COUNTIF('1bezr.'!$E$3:'1bezr.'!E17,'1bezr.'!E17)-1</f>
        <v>25</v>
      </c>
      <c r="W18" s="80" t="str">
        <f>INDEX('1bezr.'!B3:G28,MATCH(15,V4:V29,0),1)</f>
        <v>niżański</v>
      </c>
      <c r="X18" s="6">
        <f>INDEX('1bezr.'!E3:G28,MATCH(15,V4:V29,0),1)</f>
        <v>23</v>
      </c>
    </row>
    <row r="19" spans="2:24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mielecki</v>
      </c>
      <c r="D19" s="6">
        <f>INDEX('1bezr.'!B3:G28,MATCH(16,B4:B29,0),2)</f>
        <v>2837</v>
      </c>
      <c r="E19" s="61">
        <f>INDEX('1bezr.'!B3:G28,MATCH(16,B4:B29,0),3)</f>
        <v>2784</v>
      </c>
      <c r="F19" s="6">
        <f>INDEX('1bezr.'!B3:G28,MATCH(16,B4:B29,0),4)</f>
        <v>53</v>
      </c>
      <c r="G19" s="61">
        <f>INDEX('1bezr.'!B3:G28,MATCH(16,B4:B29,0),5)</f>
        <v>2646</v>
      </c>
      <c r="H19" s="6">
        <f>INDEX('1bezr.'!B3:G28,MATCH(16,B4:B29,0),6)</f>
        <v>191</v>
      </c>
      <c r="V19" s="6">
        <f>RANK('1bezr.'!E18,'1bezr.'!$E$3:'1bezr.'!$E$28,1)+COUNTIF('1bezr.'!$E$3:'1bezr.'!E18,'1bezr.'!E18)-1</f>
        <v>9</v>
      </c>
      <c r="W19" s="80" t="str">
        <f>INDEX('1bezr.'!B3:G28,MATCH(16,V4:V29,0),1)</f>
        <v>rzeszowski</v>
      </c>
      <c r="X19" s="6">
        <f>INDEX('1bezr.'!E3:G28,MATCH(16,V4:V29,0),1)</f>
        <v>23</v>
      </c>
    </row>
    <row r="20" spans="2:24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leżajski</v>
      </c>
      <c r="D20" s="6">
        <f>INDEX('1bezr.'!B3:G28,MATCH(17,B4:B29,0),2)</f>
        <v>2933</v>
      </c>
      <c r="E20" s="61">
        <f>INDEX('1bezr.'!B3:G28,MATCH(17,B4:B29,0),3)</f>
        <v>2898</v>
      </c>
      <c r="F20" s="6">
        <f>INDEX('1bezr.'!B3:G28,MATCH(17,B4:B29,0),4)</f>
        <v>35</v>
      </c>
      <c r="G20" s="61">
        <f>INDEX('1bezr.'!B3:G28,MATCH(17,B4:B29,0),5)</f>
        <v>3195</v>
      </c>
      <c r="H20" s="6">
        <f>INDEX('1bezr.'!B3:G28,MATCH(17,B4:B29,0),6)</f>
        <v>-262</v>
      </c>
      <c r="V20" s="6">
        <f>RANK('1bezr.'!E19,'1bezr.'!$E$3:'1bezr.'!$E$28,1)+COUNTIF('1bezr.'!$E$3:'1bezr.'!E19,'1bezr.'!E19)-1</f>
        <v>16</v>
      </c>
      <c r="W20" s="80" t="str">
        <f>INDEX('1bezr.'!B3:G28,MATCH(17,V4:V29,0),1)</f>
        <v xml:space="preserve">tarnobrzeski </v>
      </c>
      <c r="X20" s="6">
        <f>INDEX('1bezr.'!E3:G28,MATCH(17,V4:V29,0),1)</f>
        <v>24</v>
      </c>
    </row>
    <row r="21" spans="2:24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strzyżowski</v>
      </c>
      <c r="D21" s="6">
        <f>INDEX('1bezr.'!B3:G28,MATCH(18,B4:B29,0),2)</f>
        <v>3007</v>
      </c>
      <c r="E21" s="61">
        <f>INDEX('1bezr.'!B3:G28,MATCH(18,B4:B29,0),3)</f>
        <v>3020</v>
      </c>
      <c r="F21" s="6">
        <f>INDEX('1bezr.'!B3:G28,MATCH(18,B4:B29,0),4)</f>
        <v>-13</v>
      </c>
      <c r="G21" s="61">
        <f>INDEX('1bezr.'!B3:G28,MATCH(18,B4:B29,0),5)</f>
        <v>3220</v>
      </c>
      <c r="H21" s="6">
        <f>INDEX('1bezr.'!B3:G28,MATCH(18,B4:B29,0),6)</f>
        <v>-213</v>
      </c>
      <c r="V21" s="6">
        <f>RANK('1bezr.'!E20,'1bezr.'!$E$3:'1bezr.'!$E$28,1)+COUNTIF('1bezr.'!$E$3:'1bezr.'!E20,'1bezr.'!E20)-1</f>
        <v>11</v>
      </c>
      <c r="W21" s="80" t="str">
        <f>INDEX('1bezr.'!B3:G28,MATCH(18,V4:V29,0),1)</f>
        <v>leżajski</v>
      </c>
      <c r="X21" s="6">
        <f>INDEX('1bezr.'!E3:G28,MATCH(18,V4:V29,0),1)</f>
        <v>35</v>
      </c>
    </row>
    <row r="22" spans="2:24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niżański</v>
      </c>
      <c r="D22" s="6">
        <f>INDEX('1bezr.'!B3:G28,MATCH(19,B4:B29,0),2)</f>
        <v>3032</v>
      </c>
      <c r="E22" s="61">
        <f>INDEX('1bezr.'!B3:G28,MATCH(19,B4:B29,0),3)</f>
        <v>3009</v>
      </c>
      <c r="F22" s="6">
        <f>INDEX('1bezr.'!B3:G28,MATCH(19,B4:B29,0),4)</f>
        <v>23</v>
      </c>
      <c r="G22" s="61">
        <f>INDEX('1bezr.'!B3:G28,MATCH(19,B4:B29,0),5)</f>
        <v>3156</v>
      </c>
      <c r="H22" s="6">
        <f>INDEX('1bezr.'!B3:G28,MATCH(19,B4:B29,0),6)</f>
        <v>-124</v>
      </c>
      <c r="V22" s="6">
        <f>RANK('1bezr.'!E21,'1bezr.'!$E$3:'1bezr.'!$E$28,1)+COUNTIF('1bezr.'!$E$3:'1bezr.'!E21,'1bezr.'!E21)-1</f>
        <v>19</v>
      </c>
      <c r="W22" s="80" t="str">
        <f>INDEX('1bezr.'!B3:G28,MATCH(19,V4:V29,0),1)</f>
        <v>stalowowolski</v>
      </c>
      <c r="X22" s="6">
        <f>INDEX('1bezr.'!E3:G28,MATCH(19,V4:V29,0),1)</f>
        <v>38</v>
      </c>
    </row>
    <row r="23" spans="2:24" x14ac:dyDescent="0.2">
      <c r="B23" s="6">
        <f>RANK('1bezr.'!C22,'1bezr.'!$C$3:'1bezr.'!$C$28,1)+COUNTIF('1bezr.'!$C$3:'1bezr.'!C22,'1bezr.'!C22)-1</f>
        <v>18</v>
      </c>
      <c r="C23" s="5" t="str">
        <f>INDEX('1bezr.'!B3:G28,MATCH(20,B4:B29,0),1)</f>
        <v>przeworski</v>
      </c>
      <c r="D23" s="6">
        <f>INDEX('1bezr.'!B3:G28,MATCH(20,B4:B29,0),2)</f>
        <v>3268</v>
      </c>
      <c r="E23" s="61">
        <f>INDEX('1bezr.'!B3:G28,MATCH(20,B4:B29,0),3)</f>
        <v>3149</v>
      </c>
      <c r="F23" s="6">
        <f>INDEX('1bezr.'!B3:G28,MATCH(20,B4:B29,0),4)</f>
        <v>119</v>
      </c>
      <c r="G23" s="61">
        <f>INDEX('1bezr.'!B3:G28,MATCH(20,B4:B29,0),5)</f>
        <v>3501</v>
      </c>
      <c r="H23" s="6">
        <f>INDEX('1bezr.'!B3:G28,MATCH(20,B4:B29,0),6)</f>
        <v>-233</v>
      </c>
      <c r="V23" s="6">
        <f>RANK('1bezr.'!E22,'1bezr.'!$E$3:'1bezr.'!$E$28,1)+COUNTIF('1bezr.'!$E$3:'1bezr.'!E22,'1bezr.'!E22)-1</f>
        <v>5</v>
      </c>
      <c r="W23" s="80" t="str">
        <f>INDEX('1bezr.'!B3:G28,MATCH(20,V4:V29,0),1)</f>
        <v>Tarnobrzeg</v>
      </c>
      <c r="X23" s="6">
        <f>INDEX('1bezr.'!E3:G28,MATCH(20,V4:V29,0),1)</f>
        <v>40</v>
      </c>
    </row>
    <row r="24" spans="2:24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3608</v>
      </c>
      <c r="E24" s="61">
        <f>INDEX('1bezr.'!B3:G28,MATCH(21,B4:B29,0),3)</f>
        <v>3561</v>
      </c>
      <c r="F24" s="6">
        <f>INDEX('1bezr.'!B3:G28,MATCH(21,B4:B29,0),4)</f>
        <v>47</v>
      </c>
      <c r="G24" s="61">
        <f>INDEX('1bezr.'!B3:G28,MATCH(21,B4:B29,0),5)</f>
        <v>3927</v>
      </c>
      <c r="H24" s="6">
        <f>INDEX('1bezr.'!B3:G28,MATCH(21,B4:B29,0),6)</f>
        <v>-319</v>
      </c>
      <c r="V24" s="6">
        <f>RANK('1bezr.'!E23,'1bezr.'!$E$3:'1bezr.'!$E$28,1)+COUNTIF('1bezr.'!$E$3:'1bezr.'!E23,'1bezr.'!E23)-1</f>
        <v>17</v>
      </c>
      <c r="W24" s="80" t="str">
        <f>INDEX('1bezr.'!B3:G28,MATCH(21,V4:V29,0),1)</f>
        <v>lubaczowski</v>
      </c>
      <c r="X24" s="6">
        <f>INDEX('1bezr.'!E3:G28,MATCH(21,V4:V29,0),1)</f>
        <v>43</v>
      </c>
    </row>
    <row r="25" spans="2:24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4222</v>
      </c>
      <c r="E25" s="61">
        <f>INDEX('1bezr.'!B3:G28,MATCH(22,B4:B29,0),3)</f>
        <v>4248</v>
      </c>
      <c r="F25" s="6">
        <f>INDEX('1bezr.'!B3:G28,MATCH(22,B4:B29,0),4)</f>
        <v>-26</v>
      </c>
      <c r="G25" s="61">
        <f>INDEX('1bezr.'!B3:G28,MATCH(22,B4:B29,0),5)</f>
        <v>4643</v>
      </c>
      <c r="H25" s="6">
        <f>INDEX('1bezr.'!B3:G28,MATCH(22,B4:B29,0),6)</f>
        <v>-421</v>
      </c>
      <c r="V25" s="6">
        <f>RANK('1bezr.'!E24,'1bezr.'!$E$3:'1bezr.'!$E$28,1)+COUNTIF('1bezr.'!$E$3:'1bezr.'!E24,'1bezr.'!E24)-1</f>
        <v>6</v>
      </c>
      <c r="W25" s="80" t="str">
        <f>INDEX('1bezr.'!B3:G28,MATCH(22,V4:V29,0),1)</f>
        <v>łańcucki</v>
      </c>
      <c r="X25" s="6">
        <f>INDEX('1bezr.'!E3:G28,MATCH(22,V4:V29,0),1)</f>
        <v>43</v>
      </c>
    </row>
    <row r="26" spans="2:24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4618</v>
      </c>
      <c r="E26" s="61">
        <f>INDEX('1bezr.'!B3:G28,MATCH(23,B4:B29,0),3)</f>
        <v>4595</v>
      </c>
      <c r="F26" s="6">
        <f>INDEX('1bezr.'!B3:G28,MATCH(23,B4:B29,0),4)</f>
        <v>23</v>
      </c>
      <c r="G26" s="61">
        <f>INDEX('1bezr.'!B3:G28,MATCH(23,B4:B29,0),5)</f>
        <v>4884</v>
      </c>
      <c r="H26" s="6">
        <f>INDEX('1bezr.'!B3:G28,MATCH(23,B4:B29,0),6)</f>
        <v>-266</v>
      </c>
      <c r="V26" s="6">
        <f>RANK('1bezr.'!E25,'1bezr.'!$E$3:'1bezr.'!$E$28,1)+COUNTIF('1bezr.'!$E$3:'1bezr.'!E25,'1bezr.'!E25)-1</f>
        <v>3</v>
      </c>
      <c r="W26" s="80" t="str">
        <f>INDEX('1bezr.'!B3:G28,MATCH(23,V4:V29,0),1)</f>
        <v>brzozowski</v>
      </c>
      <c r="X26" s="6">
        <f>INDEX('1bezr.'!E3:G28,MATCH(23,V4:V29,0),1)</f>
        <v>47</v>
      </c>
    </row>
    <row r="27" spans="2:24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4709</v>
      </c>
      <c r="E27" s="61">
        <f>INDEX('1bezr.'!B3:G28,MATCH(24,B4:B29,0),3)</f>
        <v>4686</v>
      </c>
      <c r="F27" s="6">
        <f>INDEX('1bezr.'!B3:G28,MATCH(24,B4:B29,0),4)</f>
        <v>23</v>
      </c>
      <c r="G27" s="61">
        <f>INDEX('1bezr.'!B3:G28,MATCH(24,B4:B29,0),5)</f>
        <v>4746</v>
      </c>
      <c r="H27" s="6">
        <f>INDEX('1bezr.'!B3:G28,MATCH(24,B4:B29,0),6)</f>
        <v>-37</v>
      </c>
      <c r="V27" s="149">
        <f>RANK('1bezr.'!E26,'1bezr.'!$E$3:'1bezr.'!$E$28,1)+COUNTIF('1bezr.'!$E$3:'1bezr.'!E26,'1bezr.'!E26)-1</f>
        <v>12</v>
      </c>
      <c r="W27" s="150" t="str">
        <f>INDEX('1bezr.'!B3:G28,MATCH(24,V4:V29,0),1)</f>
        <v>mielecki</v>
      </c>
      <c r="X27" s="149">
        <f>INDEX('1bezr.'!E3:G28,MATCH(24,V4:V29,0),1)</f>
        <v>53</v>
      </c>
    </row>
    <row r="28" spans="2:24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5304</v>
      </c>
      <c r="E28" s="61">
        <f>INDEX('1bezr.'!B3:G28,MATCH(25,B4:B29,0),3)</f>
        <v>5288</v>
      </c>
      <c r="F28" s="6">
        <f>INDEX('1bezr.'!B3:G28,MATCH(25,B4:B29,0),4)</f>
        <v>16</v>
      </c>
      <c r="G28" s="61">
        <f>INDEX('1bezr.'!B3:G28,MATCH(25,B4:B29,0),5)</f>
        <v>5834</v>
      </c>
      <c r="H28" s="6">
        <f>INDEX('1bezr.'!B3:G28,MATCH(25,B4:B29,0),6)</f>
        <v>-530</v>
      </c>
      <c r="V28" s="149">
        <f>RANK('1bezr.'!E27,'1bezr.'!$E$3:'1bezr.'!$E$28,1)+COUNTIF('1bezr.'!$E$3:'1bezr.'!E27,'1bezr.'!E27)-1</f>
        <v>20</v>
      </c>
      <c r="W28" s="150" t="str">
        <f>INDEX('1bezr.'!B3:G28,MATCH(25,V4:V29,0),1)</f>
        <v>przeworski</v>
      </c>
      <c r="X28" s="149">
        <f>INDEX('1bezr.'!E3:G28,MATCH(25,V4:V29,0),1)</f>
        <v>119</v>
      </c>
    </row>
    <row r="29" spans="2:24" ht="15" x14ac:dyDescent="0.25">
      <c r="B29" s="59">
        <f>RANK('1bezr.'!C28,'1bezr.'!$C$3:'1bezr.'!$C$28,1)+COUNTIF('1bezr.'!$C$3:'1bezr.'!C28,'1bezr.'!C28)-1</f>
        <v>26</v>
      </c>
      <c r="C29" s="58" t="str">
        <f>INDEX('1bezr.'!B3:G28,MATCH(26,B4:B29,0),1)</f>
        <v>województwo</v>
      </c>
      <c r="D29" s="59">
        <f>INDEX('1bezr.'!B3:G28,MATCH(26,B4:B29,0),2)</f>
        <v>65444</v>
      </c>
      <c r="E29" s="63">
        <f>INDEX('1bezr.'!B3:G28,MATCH(26,B4:B29,0),3)</f>
        <v>65064</v>
      </c>
      <c r="F29" s="59">
        <f>INDEX('1bezr.'!B3:G28,MATCH(26,B4:B29,0),4)</f>
        <v>380</v>
      </c>
      <c r="G29" s="63">
        <f>INDEX('1bezr.'!B3:G28,MATCH(26,B4:B29,0),5)</f>
        <v>68719</v>
      </c>
      <c r="H29" s="59">
        <f>INDEX('1bezr.'!B3:G28,MATCH(26,B4:B29,0),6)</f>
        <v>-3275</v>
      </c>
      <c r="V29" s="6">
        <f>RANK('1bezr.'!E28,'1bezr.'!$E$3:'1bezr.'!$E$28,1)+COUNTIF('1bezr.'!$E$3:'1bezr.'!E28,'1bezr.'!E28)-1</f>
        <v>26</v>
      </c>
      <c r="W29" s="151" t="str">
        <f>INDEX('1bezr.'!B3:G28,MATCH(26,V4:V29,0),1)</f>
        <v>województwo</v>
      </c>
      <c r="X29" s="6">
        <f>INDEX('1bezr.'!E3:G28,MATCH(26,V4:V29,0),1)</f>
        <v>380</v>
      </c>
    </row>
    <row r="30" spans="2:24" x14ac:dyDescent="0.2">
      <c r="F30" s="19"/>
      <c r="H30" s="19"/>
      <c r="X30" s="82">
        <f>SUM(X5:X29)</f>
        <v>821</v>
      </c>
    </row>
  </sheetData>
  <pageMargins left="0" right="0" top="0.31496062992125984" bottom="0.31496062992125984" header="0" footer="0"/>
  <pageSetup paperSize="9" scale="7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87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57" x14ac:dyDescent="0.2">
      <c r="B3" s="62" t="s">
        <v>88</v>
      </c>
      <c r="C3" s="55" t="str">
        <f>T('10oferty s.'!B3)</f>
        <v>powiaty</v>
      </c>
      <c r="D3" s="55" t="str">
        <f>T('10oferty s.'!C3)</f>
        <v>liczba ofert w VII '23 r.</v>
      </c>
      <c r="E3" s="55" t="str">
        <f>T('10oferty s.'!D3)</f>
        <v>liczba ofert w VI '23 r.</v>
      </c>
      <c r="F3" s="55" t="str">
        <f>T('10oferty s.'!E3)</f>
        <v>wzrost/spadek do poprzedniego  miesiąca</v>
      </c>
      <c r="G3" s="55" t="str">
        <f>T('10oferty s.'!F3)</f>
        <v>liczba ofert w VII '22 r.</v>
      </c>
      <c r="H3" s="55" t="str">
        <f>T('10oferty s.'!G3)</f>
        <v>wzrost/spadek do analogicznego okresu ubr.</v>
      </c>
    </row>
    <row r="4" spans="2:8" x14ac:dyDescent="0.2">
      <c r="B4" s="6">
        <f>RANK('10oferty s.'!C4,'10oferty s.'!$C$4:'10oferty s.'!$C$29,1)+COUNTIF('10oferty s.'!$C$4:'10oferty s.'!C4,'10oferty s.'!C4)-1</f>
        <v>4</v>
      </c>
      <c r="C4" s="5" t="str">
        <f>INDEX('10oferty s.'!B4:G29,MATCH(1,B4:B29,0),1)</f>
        <v>przemyski</v>
      </c>
      <c r="D4" s="25">
        <f>INDEX('10oferty s.'!B4:G29,MATCH(1,B4:B29,0),2)</f>
        <v>8</v>
      </c>
      <c r="E4" s="61">
        <f>INDEX('10oferty s.'!B4:G29,MATCH(1,B4:B29,0),3)</f>
        <v>49</v>
      </c>
      <c r="F4" s="6">
        <f>INDEX('10oferty s.'!B4:G29,MATCH(1,B4:B29,0),4)</f>
        <v>-41</v>
      </c>
      <c r="G4" s="61">
        <f>INDEX('10oferty s.'!B4:G29,MATCH(1,B4:B29,0),5)</f>
        <v>26</v>
      </c>
      <c r="H4" s="6">
        <f>INDEX('10oferty s.'!B4:G29,MATCH(1,B4:B29,0),6)</f>
        <v>-18</v>
      </c>
    </row>
    <row r="5" spans="2:8" x14ac:dyDescent="0.2">
      <c r="B5" s="6">
        <f>RANK('10oferty s.'!C5,'10oferty s.'!$C$4:'10oferty s.'!$C$29,1)+COUNTIF('10oferty s.'!$C$4:'10oferty s.'!C5,'10oferty s.'!C5)-1</f>
        <v>17</v>
      </c>
      <c r="C5" s="5" t="str">
        <f>INDEX('10oferty s.'!B4:G29,MATCH(2,B4:B29,0),1)</f>
        <v>Tarnobrzeg</v>
      </c>
      <c r="D5" s="6">
        <f>INDEX('10oferty s.'!B4:G29,MATCH(2,B4:B29,0),2)</f>
        <v>20</v>
      </c>
      <c r="E5" s="61">
        <f>INDEX('10oferty s.'!B4:G29,MATCH(2,B4:B29,0),3)</f>
        <v>30</v>
      </c>
      <c r="F5" s="6">
        <f>INDEX('10oferty s.'!B4:G29,MATCH(2,B4:B29,0),4)</f>
        <v>-10</v>
      </c>
      <c r="G5" s="61">
        <f>INDEX('10oferty s.'!B4:G29,MATCH(2,B4:B29,0),5)</f>
        <v>54</v>
      </c>
      <c r="H5" s="6">
        <f>INDEX('10oferty s.'!B4:G29,MATCH(2,B4:B29,0),6)</f>
        <v>-34</v>
      </c>
    </row>
    <row r="6" spans="2:8" x14ac:dyDescent="0.2">
      <c r="B6" s="6">
        <f>RANK('10oferty s.'!C6,'10oferty s.'!$C$4:'10oferty s.'!$C$29,1)+COUNTIF('10oferty s.'!$C$4:'10oferty s.'!C6,'10oferty s.'!C6)-1</f>
        <v>19</v>
      </c>
      <c r="C6" s="5" t="str">
        <f>INDEX('10oferty s.'!B4:G29,MATCH(3,B4:B29,0),1)</f>
        <v>leski</v>
      </c>
      <c r="D6" s="6">
        <f>INDEX('10oferty s.'!B4:G29,MATCH(3,B4:B29,0),2)</f>
        <v>21</v>
      </c>
      <c r="E6" s="61">
        <f>INDEX('10oferty s.'!B4:G29,MATCH(3,B4:B29,0),3)</f>
        <v>51</v>
      </c>
      <c r="F6" s="6">
        <f>INDEX('10oferty s.'!B4:G29,MATCH(3,B4:B29,0),4)</f>
        <v>-30</v>
      </c>
      <c r="G6" s="61">
        <f>INDEX('10oferty s.'!B4:G29,MATCH(3,B4:B29,0),5)</f>
        <v>8</v>
      </c>
      <c r="H6" s="6">
        <f>INDEX('10oferty s.'!B4:G29,MATCH(3,B4:B29,0),6)</f>
        <v>13</v>
      </c>
    </row>
    <row r="7" spans="2:8" x14ac:dyDescent="0.2">
      <c r="B7" s="6">
        <f>RANK('10oferty s.'!C7,'10oferty s.'!$C$4:'10oferty s.'!$C$29,1)+COUNTIF('10oferty s.'!$C$4:'10oferty s.'!C7,'10oferty s.'!C7)-1</f>
        <v>22</v>
      </c>
      <c r="C7" s="5" t="str">
        <f>INDEX('10oferty s.'!B4:G29,MATCH(4,B4:B29,0),1)</f>
        <v>bieszczadzki</v>
      </c>
      <c r="D7" s="6">
        <f>INDEX('10oferty s.'!B4:G29,MATCH(4,B4:B29,0),2)</f>
        <v>23</v>
      </c>
      <c r="E7" s="61">
        <f>INDEX('10oferty s.'!B4:G29,MATCH(4,B4:B29,0),3)</f>
        <v>38</v>
      </c>
      <c r="F7" s="6">
        <f>INDEX('10oferty s.'!B4:G29,MATCH(4,B4:B29,0),4)</f>
        <v>-15</v>
      </c>
      <c r="G7" s="61">
        <f>INDEX('10oferty s.'!B4:G29,MATCH(4,B4:B29,0),5)</f>
        <v>16</v>
      </c>
      <c r="H7" s="6">
        <f>INDEX('10oferty s.'!B4:G29,MATCH(4,B4:B29,0),6)</f>
        <v>7</v>
      </c>
    </row>
    <row r="8" spans="2:8" x14ac:dyDescent="0.2">
      <c r="B8" s="6">
        <f>RANK('10oferty s.'!C8,'10oferty s.'!$C$4:'10oferty s.'!$C$29,1)+COUNTIF('10oferty s.'!$C$4:'10oferty s.'!C8,'10oferty s.'!C8)-1</f>
        <v>24</v>
      </c>
      <c r="C8" s="5" t="str">
        <f>INDEX('10oferty s.'!B4:G29,MATCH(5,B4:B29,0),1)</f>
        <v xml:space="preserve">tarnobrzeski </v>
      </c>
      <c r="D8" s="6">
        <f>INDEX('10oferty s.'!B4:G29,MATCH(5,B4:B29,0),2)</f>
        <v>25</v>
      </c>
      <c r="E8" s="61">
        <f>INDEX('10oferty s.'!B4:G29,MATCH(5,B4:B29,0),3)</f>
        <v>24</v>
      </c>
      <c r="F8" s="6">
        <f>INDEX('10oferty s.'!B4:G29,MATCH(5,B4:B29,0),4)</f>
        <v>1</v>
      </c>
      <c r="G8" s="61">
        <f>INDEX('10oferty s.'!B4:G29,MATCH(5,B4:B29,0),5)</f>
        <v>42</v>
      </c>
      <c r="H8" s="6">
        <f>INDEX('10oferty s.'!B4:G29,MATCH(5,B4:B29,0),6)</f>
        <v>-17</v>
      </c>
    </row>
    <row r="9" spans="2:8" x14ac:dyDescent="0.2">
      <c r="B9" s="6">
        <f>RANK('10oferty s.'!C9,'10oferty s.'!$C$4:'10oferty s.'!$C$29,1)+COUNTIF('10oferty s.'!$C$4:'10oferty s.'!C9,'10oferty s.'!C9)-1</f>
        <v>18</v>
      </c>
      <c r="C9" s="5" t="str">
        <f>INDEX('10oferty s.'!B4:G29,MATCH(6,B4:B29,0),1)</f>
        <v>Krosno</v>
      </c>
      <c r="D9" s="6">
        <f>INDEX('10oferty s.'!B4:G29,MATCH(6,B4:B29,0),2)</f>
        <v>29</v>
      </c>
      <c r="E9" s="61">
        <f>INDEX('10oferty s.'!B4:G29,MATCH(6,B4:B29,0),3)</f>
        <v>27</v>
      </c>
      <c r="F9" s="6">
        <f>INDEX('10oferty s.'!B4:G29,MATCH(6,B4:B29,0),4)</f>
        <v>2</v>
      </c>
      <c r="G9" s="61">
        <f>INDEX('10oferty s.'!B4:G29,MATCH(6,B4:B29,0),5)</f>
        <v>27</v>
      </c>
      <c r="H9" s="6">
        <f>INDEX('10oferty s.'!B4:G29,MATCH(6,B4:B29,0),6)</f>
        <v>2</v>
      </c>
    </row>
    <row r="10" spans="2:8" x14ac:dyDescent="0.2">
      <c r="B10" s="6">
        <f>RANK('10oferty s.'!C10,'10oferty s.'!$C$4:'10oferty s.'!$C$29,1)+COUNTIF('10oferty s.'!$C$4:'10oferty s.'!C10,'10oferty s.'!C10)-1</f>
        <v>7</v>
      </c>
      <c r="C10" s="9" t="str">
        <f>INDEX('10oferty s.'!B4:G29,MATCH(7,B4:B29,0),1)</f>
        <v>krośnieński</v>
      </c>
      <c r="D10" s="6">
        <f>INDEX('10oferty s.'!B4:G29,MATCH(7,B4:B29,0),2)</f>
        <v>31</v>
      </c>
      <c r="E10" s="61">
        <f>INDEX('10oferty s.'!B4:G29,MATCH(7,B4:B29,0),3)</f>
        <v>26</v>
      </c>
      <c r="F10" s="6">
        <f>INDEX('10oferty s.'!B4:G29,MATCH(7,B4:B29,0),4)</f>
        <v>5</v>
      </c>
      <c r="G10" s="61">
        <f>INDEX('10oferty s.'!B4:G29,MATCH(7,B4:B29,0),5)</f>
        <v>29</v>
      </c>
      <c r="H10" s="6">
        <f>INDEX('10oferty s.'!B4:G29,MATCH(7,B4:B29,0),6)</f>
        <v>2</v>
      </c>
    </row>
    <row r="11" spans="2:8" x14ac:dyDescent="0.2">
      <c r="B11" s="6">
        <f>RANK('10oferty s.'!C11,'10oferty s.'!$C$4:'10oferty s.'!$C$29,1)+COUNTIF('10oferty s.'!$C$4:'10oferty s.'!C11,'10oferty s.'!C11)-1</f>
        <v>3</v>
      </c>
      <c r="C11" s="5" t="str">
        <f>INDEX('10oferty s.'!B4:G29,MATCH(8,B4:B29,0),1)</f>
        <v>łańcucki</v>
      </c>
      <c r="D11" s="6">
        <f>INDEX('10oferty s.'!B4:G29,MATCH(8,B4:B29,0),2)</f>
        <v>34</v>
      </c>
      <c r="E11" s="61">
        <f>INDEX('10oferty s.'!B4:G29,MATCH(8,B4:B29,0),3)</f>
        <v>52</v>
      </c>
      <c r="F11" s="6">
        <f>INDEX('10oferty s.'!B4:G29,MATCH(8,B4:B29,0),4)</f>
        <v>-18</v>
      </c>
      <c r="G11" s="61">
        <f>INDEX('10oferty s.'!B4:G29,MATCH(8,B4:B29,0),5)</f>
        <v>52</v>
      </c>
      <c r="H11" s="6">
        <f>INDEX('10oferty s.'!B4:G29,MATCH(8,B4:B29,0),6)</f>
        <v>-18</v>
      </c>
    </row>
    <row r="12" spans="2:8" x14ac:dyDescent="0.2">
      <c r="B12" s="6">
        <f>RANK('10oferty s.'!C12,'10oferty s.'!$C$4:'10oferty s.'!$C$29,1)+COUNTIF('10oferty s.'!$C$4:'10oferty s.'!C12,'10oferty s.'!C12)-1</f>
        <v>14</v>
      </c>
      <c r="C12" s="5" t="str">
        <f>INDEX('10oferty s.'!B4:G29,MATCH(9,B4:B29,0),1)</f>
        <v>ropczycko-sędziszowski</v>
      </c>
      <c r="D12" s="6">
        <f>INDEX('10oferty s.'!B4:G29,MATCH(9,B4:B29,0),2)</f>
        <v>34</v>
      </c>
      <c r="E12" s="61">
        <f>INDEX('10oferty s.'!B4:G29,MATCH(9,B4:B29,0),3)</f>
        <v>95</v>
      </c>
      <c r="F12" s="6">
        <f>INDEX('10oferty s.'!B4:G29,MATCH(9,B4:B29,0),4)</f>
        <v>-61</v>
      </c>
      <c r="G12" s="61">
        <f>INDEX('10oferty s.'!B4:G29,MATCH(9,B4:B29,0),5)</f>
        <v>54</v>
      </c>
      <c r="H12" s="6">
        <f>INDEX('10oferty s.'!B4:G29,MATCH(9,B4:B29,0),6)</f>
        <v>-20</v>
      </c>
    </row>
    <row r="13" spans="2:8" x14ac:dyDescent="0.2">
      <c r="B13" s="6">
        <f>RANK('10oferty s.'!C13,'10oferty s.'!$C$4:'10oferty s.'!$C$29,1)+COUNTIF('10oferty s.'!$C$4:'10oferty s.'!C13,'10oferty s.'!C13)-1</f>
        <v>15</v>
      </c>
      <c r="C13" s="5" t="str">
        <f>INDEX('10oferty s.'!B4:G29,MATCH(10,B4:B29,0),1)</f>
        <v>sanocki</v>
      </c>
      <c r="D13" s="6">
        <f>INDEX('10oferty s.'!B4:G29,MATCH(10,B4:B29,0),2)</f>
        <v>34</v>
      </c>
      <c r="E13" s="61">
        <f>INDEX('10oferty s.'!B4:G29,MATCH(10,B4:B29,0),3)</f>
        <v>59</v>
      </c>
      <c r="F13" s="6">
        <f>INDEX('10oferty s.'!B4:G29,MATCH(10,B4:B29,0),4)</f>
        <v>-25</v>
      </c>
      <c r="G13" s="61">
        <f>INDEX('10oferty s.'!B4:G29,MATCH(10,B4:B29,0),5)</f>
        <v>57</v>
      </c>
      <c r="H13" s="6">
        <f>INDEX('10oferty s.'!B4:G29,MATCH(10,B4:B29,0),6)</f>
        <v>-23</v>
      </c>
    </row>
    <row r="14" spans="2:8" x14ac:dyDescent="0.2">
      <c r="B14" s="6">
        <f>RANK('10oferty s.'!C14,'10oferty s.'!$C$4:'10oferty s.'!$C$29,1)+COUNTIF('10oferty s.'!$C$4:'10oferty s.'!C14,'10oferty s.'!C14)-1</f>
        <v>8</v>
      </c>
      <c r="C14" s="5" t="str">
        <f>INDEX('10oferty s.'!B4:G29,MATCH(11,B4:B29,0),1)</f>
        <v>stalowowolski</v>
      </c>
      <c r="D14" s="6">
        <f>INDEX('10oferty s.'!B4:G29,MATCH(11,B4:B29,0),2)</f>
        <v>34</v>
      </c>
      <c r="E14" s="61">
        <f>INDEX('10oferty s.'!B4:G29,MATCH(11,B4:B29,0),3)</f>
        <v>63</v>
      </c>
      <c r="F14" s="6">
        <f>INDEX('10oferty s.'!B4:G29,MATCH(11,B4:B29,0),4)</f>
        <v>-29</v>
      </c>
      <c r="G14" s="61">
        <f>INDEX('10oferty s.'!B4:G29,MATCH(11,B4:B29,0),5)</f>
        <v>70</v>
      </c>
      <c r="H14" s="6">
        <f>INDEX('10oferty s.'!B4:G29,MATCH(11,B4:B29,0),6)</f>
        <v>-36</v>
      </c>
    </row>
    <row r="15" spans="2:8" x14ac:dyDescent="0.2">
      <c r="B15" s="6">
        <f>RANK('10oferty s.'!C15,'10oferty s.'!$C$4:'10oferty s.'!$C$29,1)+COUNTIF('10oferty s.'!$C$4:'10oferty s.'!C15,'10oferty s.'!C15)-1</f>
        <v>20</v>
      </c>
      <c r="C15" s="5" t="str">
        <f>INDEX('10oferty s.'!B4:G29,MATCH(12,B4:B29,0),1)</f>
        <v>Przemyśl</v>
      </c>
      <c r="D15" s="6">
        <f>INDEX('10oferty s.'!B4:G29,MATCH(12,B4:B29,0),2)</f>
        <v>36</v>
      </c>
      <c r="E15" s="61">
        <f>INDEX('10oferty s.'!B4:G29,MATCH(12,B4:B29,0),3)</f>
        <v>56</v>
      </c>
      <c r="F15" s="6">
        <f>INDEX('10oferty s.'!B4:G29,MATCH(12,B4:B29,0),4)</f>
        <v>-20</v>
      </c>
      <c r="G15" s="61">
        <f>INDEX('10oferty s.'!B4:G29,MATCH(12,B4:B29,0),5)</f>
        <v>48</v>
      </c>
      <c r="H15" s="6">
        <f>INDEX('10oferty s.'!B4:G29,MATCH(12,B4:B29,0),6)</f>
        <v>-12</v>
      </c>
    </row>
    <row r="16" spans="2:8" x14ac:dyDescent="0.2">
      <c r="B16" s="6">
        <f>RANK('10oferty s.'!C16,'10oferty s.'!$C$4:'10oferty s.'!$C$29,1)+COUNTIF('10oferty s.'!$C$4:'10oferty s.'!C16,'10oferty s.'!C16)-1</f>
        <v>16</v>
      </c>
      <c r="C16" s="5" t="str">
        <f>INDEX('10oferty s.'!B4:G29,MATCH(13,B4:B29,0),1)</f>
        <v>rzeszowski</v>
      </c>
      <c r="D16" s="6">
        <f>INDEX('10oferty s.'!B4:G29,MATCH(13,B4:B29,0),2)</f>
        <v>37</v>
      </c>
      <c r="E16" s="61">
        <f>INDEX('10oferty s.'!B4:G29,MATCH(13,B4:B29,0),3)</f>
        <v>41</v>
      </c>
      <c r="F16" s="6">
        <f>INDEX('10oferty s.'!B4:G29,MATCH(13,B4:B29,0),4)</f>
        <v>-4</v>
      </c>
      <c r="G16" s="61">
        <f>INDEX('10oferty s.'!B4:G29,MATCH(13,B4:B29,0),5)</f>
        <v>49</v>
      </c>
      <c r="H16" s="6">
        <f>INDEX('10oferty s.'!B4:G29,MATCH(13,B4:B29,0),6)</f>
        <v>-12</v>
      </c>
    </row>
    <row r="17" spans="2:8" x14ac:dyDescent="0.2">
      <c r="B17" s="6">
        <f>RANK('10oferty s.'!C17,'10oferty s.'!$C$4:'10oferty s.'!$C$29,1)+COUNTIF('10oferty s.'!$C$4:'10oferty s.'!C17,'10oferty s.'!C17)-1</f>
        <v>1</v>
      </c>
      <c r="C17" s="5" t="str">
        <f>INDEX('10oferty s.'!B4:G29,MATCH(14,B4:B29,0),1)</f>
        <v>leżajski</v>
      </c>
      <c r="D17" s="6">
        <f>INDEX('10oferty s.'!B4:G29,MATCH(14,B4:B29,0),2)</f>
        <v>42</v>
      </c>
      <c r="E17" s="61">
        <f>INDEX('10oferty s.'!B4:G29,MATCH(14,B4:B29,0),3)</f>
        <v>85</v>
      </c>
      <c r="F17" s="6">
        <f>INDEX('10oferty s.'!B4:G29,MATCH(14,B4:B29,0),4)</f>
        <v>-43</v>
      </c>
      <c r="G17" s="61">
        <f>INDEX('10oferty s.'!B4:G29,MATCH(14,B4:B29,0),5)</f>
        <v>44</v>
      </c>
      <c r="H17" s="6">
        <f>INDEX('10oferty s.'!B4:G29,MATCH(14,B4:B29,0),6)</f>
        <v>-2</v>
      </c>
    </row>
    <row r="18" spans="2:8" x14ac:dyDescent="0.2">
      <c r="B18" s="6">
        <f>RANK('10oferty s.'!C18,'10oferty s.'!$C$4:'10oferty s.'!$C$29,1)+COUNTIF('10oferty s.'!$C$4:'10oferty s.'!C18,'10oferty s.'!C18)-1</f>
        <v>21</v>
      </c>
      <c r="C18" s="5" t="str">
        <f>INDEX('10oferty s.'!B4:G29,MATCH(15,B4:B29,0),1)</f>
        <v>lubaczowski</v>
      </c>
      <c r="D18" s="6">
        <f>INDEX('10oferty s.'!B4:G29,MATCH(15,B4:B29,0),2)</f>
        <v>44</v>
      </c>
      <c r="E18" s="61">
        <f>INDEX('10oferty s.'!B4:G29,MATCH(15,B4:B29,0),3)</f>
        <v>51</v>
      </c>
      <c r="F18" s="6">
        <f>INDEX('10oferty s.'!B4:G29,MATCH(15,B4:B29,0),4)</f>
        <v>-7</v>
      </c>
      <c r="G18" s="61">
        <f>INDEX('10oferty s.'!B4:G29,MATCH(15,B4:B29,0),5)</f>
        <v>35</v>
      </c>
      <c r="H18" s="6">
        <f>INDEX('10oferty s.'!B4:G29,MATCH(15,B4:B29,0),6)</f>
        <v>9</v>
      </c>
    </row>
    <row r="19" spans="2:8" x14ac:dyDescent="0.2">
      <c r="B19" s="6">
        <f>RANK('10oferty s.'!C19,'10oferty s.'!$C$4:'10oferty s.'!$C$29,1)+COUNTIF('10oferty s.'!$C$4:'10oferty s.'!C19,'10oferty s.'!C19)-1</f>
        <v>9</v>
      </c>
      <c r="C19" s="5" t="str">
        <f>INDEX('10oferty s.'!B4:G29,MATCH(16,B4:B29,0),1)</f>
        <v>niżański</v>
      </c>
      <c r="D19" s="6">
        <f>INDEX('10oferty s.'!B4:G29,MATCH(16,B4:B29,0),2)</f>
        <v>51</v>
      </c>
      <c r="E19" s="61">
        <f>INDEX('10oferty s.'!B4:G29,MATCH(16,B4:B29,0),3)</f>
        <v>88</v>
      </c>
      <c r="F19" s="6">
        <f>INDEX('10oferty s.'!B4:G29,MATCH(16,B4:B29,0),4)</f>
        <v>-37</v>
      </c>
      <c r="G19" s="61">
        <f>INDEX('10oferty s.'!B4:G29,MATCH(16,B4:B29,0),5)</f>
        <v>64</v>
      </c>
      <c r="H19" s="6">
        <f>INDEX('10oferty s.'!B4:G29,MATCH(16,B4:B29,0),6)</f>
        <v>-13</v>
      </c>
    </row>
    <row r="20" spans="2:8" x14ac:dyDescent="0.2">
      <c r="B20" s="6">
        <f>RANK('10oferty s.'!C20,'10oferty s.'!$C$4:'10oferty s.'!$C$29,1)+COUNTIF('10oferty s.'!$C$4:'10oferty s.'!C20,'10oferty s.'!C20)-1</f>
        <v>13</v>
      </c>
      <c r="C20" s="5" t="str">
        <f>INDEX('10oferty s.'!B4:G29,MATCH(17,B4:B29,0),1)</f>
        <v>brzozowski</v>
      </c>
      <c r="D20" s="6">
        <f>INDEX('10oferty s.'!B4:G29,MATCH(17,B4:B29,0),2)</f>
        <v>52</v>
      </c>
      <c r="E20" s="61">
        <f>INDEX('10oferty s.'!B4:G29,MATCH(17,B4:B29,0),3)</f>
        <v>68</v>
      </c>
      <c r="F20" s="6">
        <f>INDEX('10oferty s.'!B4:G29,MATCH(17,B4:B29,0),4)</f>
        <v>-16</v>
      </c>
      <c r="G20" s="61">
        <f>INDEX('10oferty s.'!B4:G29,MATCH(17,B4:B29,0),5)</f>
        <v>61</v>
      </c>
      <c r="H20" s="6">
        <f>INDEX('10oferty s.'!B4:G29,MATCH(17,B4:B29,0),6)</f>
        <v>-9</v>
      </c>
    </row>
    <row r="21" spans="2:8" x14ac:dyDescent="0.2">
      <c r="B21" s="6">
        <f>RANK('10oferty s.'!C21,'10oferty s.'!$C$4:'10oferty s.'!$C$29,1)+COUNTIF('10oferty s.'!$C$4:'10oferty s.'!C21,'10oferty s.'!C21)-1</f>
        <v>10</v>
      </c>
      <c r="C21" s="5" t="str">
        <f>INDEX('10oferty s.'!B4:G29,MATCH(18,B4:B29,0),1)</f>
        <v>kolbuszowski</v>
      </c>
      <c r="D21" s="6">
        <f>INDEX('10oferty s.'!B4:G29,MATCH(18,B4:B29,0),2)</f>
        <v>59</v>
      </c>
      <c r="E21" s="61">
        <f>INDEX('10oferty s.'!B4:G29,MATCH(18,B4:B29,0),3)</f>
        <v>41</v>
      </c>
      <c r="F21" s="6">
        <f>INDEX('10oferty s.'!B4:G29,MATCH(18,B4:B29,0),4)</f>
        <v>18</v>
      </c>
      <c r="G21" s="61">
        <f>INDEX('10oferty s.'!B4:G29,MATCH(18,B4:B29,0),5)</f>
        <v>64</v>
      </c>
      <c r="H21" s="6">
        <f>INDEX('10oferty s.'!B4:G29,MATCH(18,B4:B29,0),6)</f>
        <v>-5</v>
      </c>
    </row>
    <row r="22" spans="2:8" x14ac:dyDescent="0.2">
      <c r="B22" s="6">
        <f>RANK('10oferty s.'!C22,'10oferty s.'!$C$4:'10oferty s.'!$C$29,1)+COUNTIF('10oferty s.'!$C$4:'10oferty s.'!C22,'10oferty s.'!C22)-1</f>
        <v>11</v>
      </c>
      <c r="C22" s="5" t="str">
        <f>INDEX('10oferty s.'!B4:G29,MATCH(19,B4:B29,0),1)</f>
        <v>dębicki</v>
      </c>
      <c r="D22" s="6">
        <f>INDEX('10oferty s.'!B4:G29,MATCH(19,B4:B29,0),2)</f>
        <v>61</v>
      </c>
      <c r="E22" s="61">
        <f>INDEX('10oferty s.'!B4:G29,MATCH(19,B4:B29,0),3)</f>
        <v>82</v>
      </c>
      <c r="F22" s="6">
        <f>INDEX('10oferty s.'!B4:G29,MATCH(19,B4:B29,0),4)</f>
        <v>-21</v>
      </c>
      <c r="G22" s="61">
        <f>INDEX('10oferty s.'!B4:G29,MATCH(19,B4:B29,0),5)</f>
        <v>69</v>
      </c>
      <c r="H22" s="6">
        <f>INDEX('10oferty s.'!B4:G29,MATCH(19,B4:B29,0),6)</f>
        <v>-8</v>
      </c>
    </row>
    <row r="23" spans="2:8" x14ac:dyDescent="0.2">
      <c r="B23" s="6">
        <f>RANK('10oferty s.'!C23,'10oferty s.'!$C$4:'10oferty s.'!$C$29,1)+COUNTIF('10oferty s.'!$C$4:'10oferty s.'!C23,'10oferty s.'!C23)-1</f>
        <v>23</v>
      </c>
      <c r="C23" s="5" t="str">
        <f>INDEX('10oferty s.'!B4:G29,MATCH(20,B4:B29,0),1)</f>
        <v>mielecki</v>
      </c>
      <c r="D23" s="6">
        <f>INDEX('10oferty s.'!B4:G29,MATCH(20,B4:B29,0),2)</f>
        <v>66</v>
      </c>
      <c r="E23" s="61">
        <f>INDEX('10oferty s.'!B4:G29,MATCH(20,B4:B29,0),3)</f>
        <v>136</v>
      </c>
      <c r="F23" s="6">
        <f>INDEX('10oferty s.'!B4:G29,MATCH(20,B4:B29,0),4)</f>
        <v>-70</v>
      </c>
      <c r="G23" s="61">
        <f>INDEX('10oferty s.'!B4:G29,MATCH(20,B4:B29,0),5)</f>
        <v>101</v>
      </c>
      <c r="H23" s="6">
        <f>INDEX('10oferty s.'!B4:G29,MATCH(20,B4:B29,0),6)</f>
        <v>-35</v>
      </c>
    </row>
    <row r="24" spans="2:8" x14ac:dyDescent="0.2">
      <c r="B24" s="6">
        <f>RANK('10oferty s.'!C24,'10oferty s.'!$C$4:'10oferty s.'!$C$29,1)+COUNTIF('10oferty s.'!$C$4:'10oferty s.'!C24,'10oferty s.'!C24)-1</f>
        <v>5</v>
      </c>
      <c r="C24" s="5" t="str">
        <f>INDEX('10oferty s.'!B4:G29,MATCH(21,B4:B29,0),1)</f>
        <v>przeworski</v>
      </c>
      <c r="D24" s="6">
        <f>INDEX('10oferty s.'!B4:G29,MATCH(21,B4:B29,0),2)</f>
        <v>84</v>
      </c>
      <c r="E24" s="61">
        <f>INDEX('10oferty s.'!B4:G29,MATCH(21,B4:B29,0),3)</f>
        <v>121</v>
      </c>
      <c r="F24" s="6">
        <f>INDEX('10oferty s.'!B4:G29,MATCH(21,B4:B29,0),4)</f>
        <v>-37</v>
      </c>
      <c r="G24" s="61">
        <f>INDEX('10oferty s.'!B4:G29,MATCH(21,B4:B29,0),5)</f>
        <v>94</v>
      </c>
      <c r="H24" s="6">
        <f>INDEX('10oferty s.'!B4:G29,MATCH(21,B4:B29,0),6)</f>
        <v>-10</v>
      </c>
    </row>
    <row r="25" spans="2:8" x14ac:dyDescent="0.2">
      <c r="B25" s="6">
        <f>RANK('10oferty s.'!C25,'10oferty s.'!$C$4:'10oferty s.'!$C$29,1)+COUNTIF('10oferty s.'!$C$4:'10oferty s.'!C25,'10oferty s.'!C25)-1</f>
        <v>6</v>
      </c>
      <c r="C25" s="5" t="str">
        <f>INDEX('10oferty s.'!B4:G29,MATCH(22,B4:B29,0),1)</f>
        <v>jarosławski</v>
      </c>
      <c r="D25" s="6">
        <f>INDEX('10oferty s.'!B4:G29,MATCH(22,B4:B29,0),2)</f>
        <v>89</v>
      </c>
      <c r="E25" s="61">
        <f>INDEX('10oferty s.'!B4:G29,MATCH(22,B4:B29,0),3)</f>
        <v>123</v>
      </c>
      <c r="F25" s="6">
        <f>INDEX('10oferty s.'!B4:G29,MATCH(22,B4:B29,0),4)</f>
        <v>-34</v>
      </c>
      <c r="G25" s="61">
        <f>INDEX('10oferty s.'!B4:G29,MATCH(22,B4:B29,0),5)</f>
        <v>101</v>
      </c>
      <c r="H25" s="6">
        <f>INDEX('10oferty s.'!B4:G29,MATCH(22,B4:B29,0),6)</f>
        <v>-12</v>
      </c>
    </row>
    <row r="26" spans="2:8" x14ac:dyDescent="0.2">
      <c r="B26" s="6">
        <f>RANK('10oferty s.'!C26,'10oferty s.'!$C$4:'10oferty s.'!$C$29,1)+COUNTIF('10oferty s.'!$C$4:'10oferty s.'!C26,'10oferty s.'!C26)-1</f>
        <v>12</v>
      </c>
      <c r="C26" s="5" t="str">
        <f>INDEX('10oferty s.'!B4:G29,MATCH(23,B4:B29,0),1)</f>
        <v>strzyżowski</v>
      </c>
      <c r="D26" s="6">
        <f>INDEX('10oferty s.'!B4:G29,MATCH(23,B4:B29,0),2)</f>
        <v>94</v>
      </c>
      <c r="E26" s="61">
        <f>INDEX('10oferty s.'!B4:G29,MATCH(23,B4:B29,0),3)</f>
        <v>93</v>
      </c>
      <c r="F26" s="6">
        <f>INDEX('10oferty s.'!B4:G29,MATCH(23,B4:B29,0),4)</f>
        <v>1</v>
      </c>
      <c r="G26" s="61">
        <f>INDEX('10oferty s.'!B4:G29,MATCH(23,B4:B29,0),5)</f>
        <v>80</v>
      </c>
      <c r="H26" s="6">
        <f>INDEX('10oferty s.'!B4:G29,MATCH(23,B4:B29,0),6)</f>
        <v>14</v>
      </c>
    </row>
    <row r="27" spans="2:8" x14ac:dyDescent="0.2">
      <c r="B27" s="6">
        <f>RANK('10oferty s.'!C27,'10oferty s.'!$C$4:'10oferty s.'!$C$29,1)+COUNTIF('10oferty s.'!$C$4:'10oferty s.'!C27,'10oferty s.'!C27)-1</f>
        <v>25</v>
      </c>
      <c r="C27" s="5" t="str">
        <f>INDEX('10oferty s.'!B4:G29,MATCH(24,B4:B29,0),1)</f>
        <v>jasielski</v>
      </c>
      <c r="D27" s="6">
        <f>INDEX('10oferty s.'!B4:G29,MATCH(24,B4:B29,0),2)</f>
        <v>109</v>
      </c>
      <c r="E27" s="61">
        <f>INDEX('10oferty s.'!B4:G29,MATCH(24,B4:B29,0),3)</f>
        <v>95</v>
      </c>
      <c r="F27" s="6">
        <f>INDEX('10oferty s.'!B4:G29,MATCH(24,B4:B29,0),4)</f>
        <v>14</v>
      </c>
      <c r="G27" s="61">
        <f>INDEX('10oferty s.'!B4:G29,MATCH(24,B4:B29,0),5)</f>
        <v>90</v>
      </c>
      <c r="H27" s="6">
        <f>INDEX('10oferty s.'!B4:G29,MATCH(24,B4:B29,0),6)</f>
        <v>19</v>
      </c>
    </row>
    <row r="28" spans="2:8" x14ac:dyDescent="0.2">
      <c r="B28" s="6">
        <f>RANK('10oferty s.'!C28,'10oferty s.'!$C$4:'10oferty s.'!$C$29,1)+COUNTIF('10oferty s.'!$C$4:'10oferty s.'!C28,'10oferty s.'!C28)-1</f>
        <v>2</v>
      </c>
      <c r="C28" s="5" t="str">
        <f>INDEX('10oferty s.'!B4:G29,MATCH(25,B4:B29,0),1)</f>
        <v>Rzeszów</v>
      </c>
      <c r="D28" s="6">
        <f>INDEX('10oferty s.'!B4:G29,MATCH(25,B4:B29,0),2)</f>
        <v>123</v>
      </c>
      <c r="E28" s="61">
        <f>INDEX('10oferty s.'!B4:G29,MATCH(25,B4:B29,0),3)</f>
        <v>73</v>
      </c>
      <c r="F28" s="6">
        <f>INDEX('10oferty s.'!B4:G29,MATCH(25,B4:B29,0),4)</f>
        <v>50</v>
      </c>
      <c r="G28" s="61">
        <f>INDEX('10oferty s.'!B4:G29,MATCH(25,B4:B29,0),5)</f>
        <v>94</v>
      </c>
      <c r="H28" s="6">
        <f>INDEX('10oferty s.'!B4:G29,MATCH(25,B4:B29,0),6)</f>
        <v>29</v>
      </c>
    </row>
    <row r="29" spans="2:8" ht="15" x14ac:dyDescent="0.25">
      <c r="B29" s="59">
        <f>RANK('10oferty s.'!C29,'10oferty s.'!$C$4:'10oferty s.'!$C$29,1)+COUNTIF('10oferty s.'!$C$4:'10oferty s.'!C29,'10oferty s.'!C29)-1</f>
        <v>26</v>
      </c>
      <c r="C29" s="58" t="str">
        <f>INDEX('10oferty s.'!B4:G29,MATCH(26,B4:B29,0),1)</f>
        <v>województwo</v>
      </c>
      <c r="D29" s="59">
        <f>INDEX('10oferty s.'!B4:G29,MATCH(26,B4:B29,0),2)</f>
        <v>1240</v>
      </c>
      <c r="E29" s="63">
        <f>INDEX('10oferty s.'!B4:G29,MATCH(26,B4:B29,0),3)</f>
        <v>1667</v>
      </c>
      <c r="F29" s="59">
        <f>INDEX('10oferty s.'!B4:G29,MATCH(26,B4:B29,0),4)</f>
        <v>-427</v>
      </c>
      <c r="G29" s="63">
        <f>INDEX('10oferty s.'!B4:G29,MATCH(26,B4:B29,0),5)</f>
        <v>1429</v>
      </c>
      <c r="H29" s="59">
        <f>INDEX('10oferty s.'!B4:G29,MATCH(26,B4:B29,0),6)</f>
        <v>-189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customWidth="1"/>
    <col min="10" max="10" width="6.140625" style="3" customWidth="1"/>
    <col min="11" max="12" width="9.140625" style="3"/>
    <col min="13" max="13" width="7.140625" style="3" customWidth="1"/>
    <col min="14" max="16384" width="9.140625" style="3"/>
  </cols>
  <sheetData>
    <row r="1" spans="2:11" ht="15" customHeight="1" x14ac:dyDescent="0.2">
      <c r="B1" s="49" t="s">
        <v>99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100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145</v>
      </c>
      <c r="D3" s="57" t="s">
        <v>125</v>
      </c>
      <c r="E3" s="56" t="s">
        <v>28</v>
      </c>
      <c r="F3" s="57" t="s">
        <v>144</v>
      </c>
      <c r="G3" s="56" t="s">
        <v>26</v>
      </c>
    </row>
    <row r="4" spans="2:11" x14ac:dyDescent="0.2">
      <c r="B4" s="5" t="s">
        <v>0</v>
      </c>
      <c r="C4" s="45">
        <v>28</v>
      </c>
      <c r="D4" s="61">
        <v>47</v>
      </c>
      <c r="E4" s="45">
        <f t="shared" ref="E4:E28" si="0">SUM(C4)-D4</f>
        <v>-19</v>
      </c>
      <c r="F4" s="61">
        <v>43</v>
      </c>
      <c r="G4" s="45">
        <f t="shared" ref="G4:G28" si="1">SUM(C4)-F4</f>
        <v>-15</v>
      </c>
      <c r="H4" s="7"/>
    </row>
    <row r="5" spans="2:11" x14ac:dyDescent="0.2">
      <c r="B5" s="5" t="s">
        <v>1</v>
      </c>
      <c r="C5" s="45">
        <v>4</v>
      </c>
      <c r="D5" s="61">
        <v>4</v>
      </c>
      <c r="E5" s="45">
        <f t="shared" si="0"/>
        <v>0</v>
      </c>
      <c r="F5" s="61">
        <v>6</v>
      </c>
      <c r="G5" s="45">
        <f t="shared" si="1"/>
        <v>-2</v>
      </c>
      <c r="H5" s="7"/>
    </row>
    <row r="6" spans="2:11" x14ac:dyDescent="0.2">
      <c r="B6" s="5" t="s">
        <v>2</v>
      </c>
      <c r="C6" s="45">
        <v>117</v>
      </c>
      <c r="D6" s="61">
        <v>134</v>
      </c>
      <c r="E6" s="45">
        <f t="shared" si="0"/>
        <v>-17</v>
      </c>
      <c r="F6" s="61">
        <v>191</v>
      </c>
      <c r="G6" s="45">
        <f t="shared" si="1"/>
        <v>-74</v>
      </c>
      <c r="H6" s="7"/>
    </row>
    <row r="7" spans="2:11" x14ac:dyDescent="0.2">
      <c r="B7" s="5" t="s">
        <v>3</v>
      </c>
      <c r="C7" s="45">
        <v>124</v>
      </c>
      <c r="D7" s="61">
        <v>160</v>
      </c>
      <c r="E7" s="45">
        <f t="shared" si="0"/>
        <v>-36</v>
      </c>
      <c r="F7" s="61">
        <v>91</v>
      </c>
      <c r="G7" s="45">
        <f t="shared" si="1"/>
        <v>33</v>
      </c>
      <c r="H7" s="7"/>
    </row>
    <row r="8" spans="2:11" x14ac:dyDescent="0.2">
      <c r="B8" s="5" t="s">
        <v>4</v>
      </c>
      <c r="C8" s="45">
        <v>155</v>
      </c>
      <c r="D8" s="61">
        <v>153</v>
      </c>
      <c r="E8" s="45">
        <f t="shared" si="0"/>
        <v>2</v>
      </c>
      <c r="F8" s="61">
        <v>125</v>
      </c>
      <c r="G8" s="45">
        <f t="shared" si="1"/>
        <v>30</v>
      </c>
      <c r="H8" s="7"/>
    </row>
    <row r="9" spans="2:11" x14ac:dyDescent="0.2">
      <c r="B9" s="5" t="s">
        <v>5</v>
      </c>
      <c r="C9" s="45">
        <v>52</v>
      </c>
      <c r="D9" s="61">
        <v>69</v>
      </c>
      <c r="E9" s="45">
        <f t="shared" si="0"/>
        <v>-17</v>
      </c>
      <c r="F9" s="61">
        <v>83</v>
      </c>
      <c r="G9" s="45">
        <f t="shared" si="1"/>
        <v>-31</v>
      </c>
      <c r="H9" s="7"/>
    </row>
    <row r="10" spans="2:11" x14ac:dyDescent="0.2">
      <c r="B10" s="9" t="s">
        <v>6</v>
      </c>
      <c r="C10" s="45">
        <v>53</v>
      </c>
      <c r="D10" s="61">
        <v>108</v>
      </c>
      <c r="E10" s="45">
        <f t="shared" si="0"/>
        <v>-55</v>
      </c>
      <c r="F10" s="61">
        <v>41</v>
      </c>
      <c r="G10" s="45">
        <f t="shared" si="1"/>
        <v>12</v>
      </c>
      <c r="H10" s="7"/>
    </row>
    <row r="11" spans="2:11" x14ac:dyDescent="0.2">
      <c r="B11" s="5" t="s">
        <v>7</v>
      </c>
      <c r="C11" s="45">
        <v>13</v>
      </c>
      <c r="D11" s="61">
        <v>65</v>
      </c>
      <c r="E11" s="45">
        <f t="shared" si="0"/>
        <v>-52</v>
      </c>
      <c r="F11" s="61">
        <v>42</v>
      </c>
      <c r="G11" s="45">
        <f t="shared" si="1"/>
        <v>-29</v>
      </c>
      <c r="H11" s="7"/>
    </row>
    <row r="12" spans="2:11" x14ac:dyDescent="0.2">
      <c r="B12" s="5" t="s">
        <v>8</v>
      </c>
      <c r="C12" s="45">
        <v>62</v>
      </c>
      <c r="D12" s="61">
        <v>59</v>
      </c>
      <c r="E12" s="45">
        <f t="shared" si="0"/>
        <v>3</v>
      </c>
      <c r="F12" s="61">
        <v>148</v>
      </c>
      <c r="G12" s="45">
        <f t="shared" si="1"/>
        <v>-86</v>
      </c>
      <c r="H12" s="7"/>
    </row>
    <row r="13" spans="2:11" x14ac:dyDescent="0.2">
      <c r="B13" s="5" t="s">
        <v>9</v>
      </c>
      <c r="C13" s="45">
        <v>79</v>
      </c>
      <c r="D13" s="61">
        <v>41</v>
      </c>
      <c r="E13" s="45">
        <f t="shared" si="0"/>
        <v>38</v>
      </c>
      <c r="F13" s="61">
        <v>58</v>
      </c>
      <c r="G13" s="45">
        <f t="shared" si="1"/>
        <v>21</v>
      </c>
      <c r="H13" s="7"/>
    </row>
    <row r="14" spans="2:11" x14ac:dyDescent="0.2">
      <c r="B14" s="5" t="s">
        <v>10</v>
      </c>
      <c r="C14" s="45">
        <v>39</v>
      </c>
      <c r="D14" s="61">
        <v>48</v>
      </c>
      <c r="E14" s="45">
        <f t="shared" si="0"/>
        <v>-9</v>
      </c>
      <c r="F14" s="61">
        <v>47</v>
      </c>
      <c r="G14" s="45">
        <f t="shared" si="1"/>
        <v>-8</v>
      </c>
      <c r="H14" s="7"/>
    </row>
    <row r="15" spans="2:11" x14ac:dyDescent="0.2">
      <c r="B15" s="5" t="s">
        <v>11</v>
      </c>
      <c r="C15" s="45">
        <v>230</v>
      </c>
      <c r="D15" s="61">
        <v>220</v>
      </c>
      <c r="E15" s="45">
        <f t="shared" si="0"/>
        <v>10</v>
      </c>
      <c r="F15" s="61">
        <v>354</v>
      </c>
      <c r="G15" s="45">
        <f t="shared" si="1"/>
        <v>-124</v>
      </c>
      <c r="H15" s="7"/>
    </row>
    <row r="16" spans="2:11" x14ac:dyDescent="0.2">
      <c r="B16" s="5" t="s">
        <v>12</v>
      </c>
      <c r="C16" s="45">
        <v>70</v>
      </c>
      <c r="D16" s="61">
        <v>68</v>
      </c>
      <c r="E16" s="45">
        <f t="shared" si="0"/>
        <v>2</v>
      </c>
      <c r="F16" s="61">
        <v>102</v>
      </c>
      <c r="G16" s="45">
        <f t="shared" si="1"/>
        <v>-32</v>
      </c>
      <c r="H16" s="7"/>
    </row>
    <row r="17" spans="2:8" x14ac:dyDescent="0.2">
      <c r="B17" s="5" t="s">
        <v>13</v>
      </c>
      <c r="C17" s="45">
        <v>16</v>
      </c>
      <c r="D17" s="61">
        <v>17</v>
      </c>
      <c r="E17" s="45">
        <f t="shared" si="0"/>
        <v>-1</v>
      </c>
      <c r="F17" s="61">
        <v>9</v>
      </c>
      <c r="G17" s="45">
        <f t="shared" si="1"/>
        <v>7</v>
      </c>
      <c r="H17" s="7"/>
    </row>
    <row r="18" spans="2:8" x14ac:dyDescent="0.2">
      <c r="B18" s="5" t="s">
        <v>14</v>
      </c>
      <c r="C18" s="45">
        <v>144</v>
      </c>
      <c r="D18" s="61">
        <v>214</v>
      </c>
      <c r="E18" s="45">
        <f t="shared" si="0"/>
        <v>-70</v>
      </c>
      <c r="F18" s="61">
        <v>115</v>
      </c>
      <c r="G18" s="45">
        <f t="shared" si="1"/>
        <v>29</v>
      </c>
      <c r="H18" s="7"/>
    </row>
    <row r="19" spans="2:8" x14ac:dyDescent="0.2">
      <c r="B19" s="5" t="s">
        <v>15</v>
      </c>
      <c r="C19" s="45">
        <v>59</v>
      </c>
      <c r="D19" s="61">
        <v>81</v>
      </c>
      <c r="E19" s="45">
        <f t="shared" si="0"/>
        <v>-22</v>
      </c>
      <c r="F19" s="61">
        <v>114</v>
      </c>
      <c r="G19" s="45">
        <f t="shared" si="1"/>
        <v>-55</v>
      </c>
      <c r="H19" s="7"/>
    </row>
    <row r="20" spans="2:8" x14ac:dyDescent="0.2">
      <c r="B20" s="5" t="s">
        <v>16</v>
      </c>
      <c r="C20" s="45">
        <v>91</v>
      </c>
      <c r="D20" s="61">
        <v>103</v>
      </c>
      <c r="E20" s="45">
        <f t="shared" si="0"/>
        <v>-12</v>
      </c>
      <c r="F20" s="61">
        <v>103</v>
      </c>
      <c r="G20" s="45">
        <f t="shared" si="1"/>
        <v>-12</v>
      </c>
      <c r="H20" s="7"/>
    </row>
    <row r="21" spans="2:8" x14ac:dyDescent="0.2">
      <c r="B21" s="5" t="s">
        <v>17</v>
      </c>
      <c r="C21" s="45">
        <v>75</v>
      </c>
      <c r="D21" s="61">
        <v>54</v>
      </c>
      <c r="E21" s="45">
        <f t="shared" si="0"/>
        <v>21</v>
      </c>
      <c r="F21" s="61">
        <v>42</v>
      </c>
      <c r="G21" s="45">
        <f t="shared" si="1"/>
        <v>33</v>
      </c>
      <c r="H21" s="7"/>
    </row>
    <row r="22" spans="2:8" x14ac:dyDescent="0.2">
      <c r="B22" s="5" t="s">
        <v>18</v>
      </c>
      <c r="C22" s="45">
        <v>73</v>
      </c>
      <c r="D22" s="61">
        <v>77</v>
      </c>
      <c r="E22" s="45">
        <f t="shared" si="0"/>
        <v>-4</v>
      </c>
      <c r="F22" s="61">
        <v>89</v>
      </c>
      <c r="G22" s="45">
        <f t="shared" si="1"/>
        <v>-16</v>
      </c>
      <c r="H22" s="7"/>
    </row>
    <row r="23" spans="2:8" x14ac:dyDescent="0.2">
      <c r="B23" s="5" t="s">
        <v>19</v>
      </c>
      <c r="C23" s="45">
        <v>84</v>
      </c>
      <c r="D23" s="61">
        <v>53</v>
      </c>
      <c r="E23" s="45">
        <f t="shared" si="0"/>
        <v>31</v>
      </c>
      <c r="F23" s="61">
        <v>111</v>
      </c>
      <c r="G23" s="45">
        <f t="shared" si="1"/>
        <v>-27</v>
      </c>
      <c r="H23" s="7"/>
    </row>
    <row r="24" spans="2:8" x14ac:dyDescent="0.2">
      <c r="B24" s="5" t="s">
        <v>20</v>
      </c>
      <c r="C24" s="45">
        <v>72</v>
      </c>
      <c r="D24" s="61">
        <v>86</v>
      </c>
      <c r="E24" s="45">
        <f t="shared" si="0"/>
        <v>-14</v>
      </c>
      <c r="F24" s="61">
        <v>154</v>
      </c>
      <c r="G24" s="45">
        <f t="shared" si="1"/>
        <v>-82</v>
      </c>
      <c r="H24" s="7"/>
    </row>
    <row r="25" spans="2:8" x14ac:dyDescent="0.2">
      <c r="B25" s="5" t="s">
        <v>21</v>
      </c>
      <c r="C25" s="45">
        <v>45</v>
      </c>
      <c r="D25" s="61">
        <v>44</v>
      </c>
      <c r="E25" s="45">
        <f t="shared" si="0"/>
        <v>1</v>
      </c>
      <c r="F25" s="61">
        <v>41</v>
      </c>
      <c r="G25" s="45">
        <f t="shared" si="1"/>
        <v>4</v>
      </c>
      <c r="H25" s="7"/>
    </row>
    <row r="26" spans="2:8" x14ac:dyDescent="0.2">
      <c r="B26" s="5" t="s">
        <v>22</v>
      </c>
      <c r="C26" s="45">
        <v>25</v>
      </c>
      <c r="D26" s="61">
        <v>50</v>
      </c>
      <c r="E26" s="45">
        <f t="shared" si="0"/>
        <v>-25</v>
      </c>
      <c r="F26" s="61">
        <v>26</v>
      </c>
      <c r="G26" s="45">
        <f t="shared" si="1"/>
        <v>-1</v>
      </c>
      <c r="H26" s="7"/>
    </row>
    <row r="27" spans="2:8" x14ac:dyDescent="0.2">
      <c r="B27" s="5" t="s">
        <v>23</v>
      </c>
      <c r="C27" s="45">
        <v>412</v>
      </c>
      <c r="D27" s="61">
        <v>538</v>
      </c>
      <c r="E27" s="45">
        <f t="shared" si="0"/>
        <v>-126</v>
      </c>
      <c r="F27" s="61">
        <v>386</v>
      </c>
      <c r="G27" s="45">
        <f t="shared" si="1"/>
        <v>26</v>
      </c>
      <c r="H27" s="7"/>
    </row>
    <row r="28" spans="2:8" x14ac:dyDescent="0.2">
      <c r="B28" s="5" t="s">
        <v>24</v>
      </c>
      <c r="C28" s="45">
        <v>61</v>
      </c>
      <c r="D28" s="61">
        <v>56</v>
      </c>
      <c r="E28" s="45">
        <f t="shared" si="0"/>
        <v>5</v>
      </c>
      <c r="F28" s="61">
        <v>80</v>
      </c>
      <c r="G28" s="45">
        <f t="shared" si="1"/>
        <v>-19</v>
      </c>
      <c r="H28" s="7"/>
    </row>
    <row r="29" spans="2:8" ht="15" x14ac:dyDescent="0.25">
      <c r="B29" s="58" t="s">
        <v>25</v>
      </c>
      <c r="C29" s="78">
        <f>SUM(C4:C28)</f>
        <v>2183</v>
      </c>
      <c r="D29" s="63">
        <f>SUM(D4:D28)</f>
        <v>2549</v>
      </c>
      <c r="E29" s="78">
        <f>SUM(E4:E28)</f>
        <v>-366</v>
      </c>
      <c r="F29" s="63">
        <f>SUM(F4:F28)</f>
        <v>2601</v>
      </c>
      <c r="G29" s="78">
        <f>SUM(G4:G28)</f>
        <v>-418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101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42.75" x14ac:dyDescent="0.2">
      <c r="B3" s="62" t="s">
        <v>88</v>
      </c>
      <c r="C3" s="55" t="str">
        <f>T('10oferty s.'!B3)</f>
        <v>powiaty</v>
      </c>
      <c r="D3" s="55" t="str">
        <f>T('10oferty s.'!C3)</f>
        <v>liczba ofert w VII '23 r.</v>
      </c>
      <c r="E3" s="55" t="str">
        <f>T('10oferty s.'!D3)</f>
        <v>liczba ofert w VI '23 r.</v>
      </c>
      <c r="F3" s="55" t="str">
        <f>T('10oferty s.'!E3)</f>
        <v>wzrost/spadek do poprzedniego  miesiąca</v>
      </c>
      <c r="G3" s="55" t="str">
        <f>T('10oferty s.'!F3)</f>
        <v>liczba ofert w VII '22 r.</v>
      </c>
      <c r="H3" s="55" t="str">
        <f>T('10oferty s.'!G3)</f>
        <v>wzrost/spadek do analogicznego okresu ubr.</v>
      </c>
    </row>
    <row r="4" spans="2:8" x14ac:dyDescent="0.2">
      <c r="B4" s="6">
        <f>RANK('11of st. k.'!C4,'11of st. k.'!$C$4:'11of st. k.'!$C$29,1)+COUNTIF('11of st. k.'!$C$4:'11of st. k.'!C4,'11of st. k.'!C4)-1</f>
        <v>5</v>
      </c>
      <c r="C4" s="5" t="str">
        <f>INDEX('11of st. k.'!B4:G29,MATCH(1,B4:B29,0),1)</f>
        <v>brzozowski</v>
      </c>
      <c r="D4" s="25">
        <f>INDEX('11of st. k.'!B4:G29,MATCH(1,B4:B29,0),2)</f>
        <v>4</v>
      </c>
      <c r="E4" s="61">
        <f>INDEX('11of st. k.'!B4:G29,MATCH(1,B4:B29,0),3)</f>
        <v>4</v>
      </c>
      <c r="F4" s="6">
        <f>INDEX('11of st. k.'!B4:G29,MATCH(1,B4:B29,0),4)</f>
        <v>0</v>
      </c>
      <c r="G4" s="61">
        <f>INDEX('11of st. k.'!B4:G29,MATCH(1,B4:B29,0),5)</f>
        <v>6</v>
      </c>
      <c r="H4" s="6">
        <f>INDEX('11of st. k.'!B4:G29,MATCH(1,B4:B29,0),6)</f>
        <v>-2</v>
      </c>
    </row>
    <row r="5" spans="2:8" x14ac:dyDescent="0.2">
      <c r="B5" s="6">
        <f>RANK('11of st. k.'!C5,'11of st. k.'!$C$4:'11of st. k.'!$C$29,1)+COUNTIF('11of st. k.'!$C$4:'11of st. k.'!C5,'11of st. k.'!C5)-1</f>
        <v>1</v>
      </c>
      <c r="C5" s="5" t="str">
        <f>INDEX('11of st. k.'!B4:G29,MATCH(2,B4:B29,0),1)</f>
        <v>leski</v>
      </c>
      <c r="D5" s="6">
        <f>INDEX('11of st. k.'!B4:G29,MATCH(2,B4:B29,0),2)</f>
        <v>13</v>
      </c>
      <c r="E5" s="61">
        <f>INDEX('11of st. k.'!B4:G29,MATCH(2,B4:B29,0),3)</f>
        <v>65</v>
      </c>
      <c r="F5" s="6">
        <f>INDEX('11of st. k.'!B4:G29,MATCH(2,B4:B29,0),4)</f>
        <v>-52</v>
      </c>
      <c r="G5" s="61">
        <f>INDEX('11of st. k.'!B4:G29,MATCH(2,B4:B29,0),5)</f>
        <v>42</v>
      </c>
      <c r="H5" s="6">
        <f>INDEX('11of st. k.'!B4:G29,MATCH(2,B4:B29,0),6)</f>
        <v>-29</v>
      </c>
    </row>
    <row r="6" spans="2:8" x14ac:dyDescent="0.2">
      <c r="B6" s="6">
        <f>RANK('11of st. k.'!C6,'11of st. k.'!$C$4:'11of st. k.'!$C$29,1)+COUNTIF('11of st. k.'!$C$4:'11of st. k.'!C6,'11of st. k.'!C6)-1</f>
        <v>20</v>
      </c>
      <c r="C6" s="5" t="str">
        <f>INDEX('11of st. k.'!B4:G29,MATCH(3,B4:B29,0),1)</f>
        <v>przemyski</v>
      </c>
      <c r="D6" s="6">
        <f>INDEX('11of st. k.'!B4:G29,MATCH(3,B4:B29,0),2)</f>
        <v>16</v>
      </c>
      <c r="E6" s="61">
        <f>INDEX('11of st. k.'!B4:G29,MATCH(3,B4:B29,0),3)</f>
        <v>17</v>
      </c>
      <c r="F6" s="6">
        <f>INDEX('11of st. k.'!B4:G29,MATCH(3,B4:B29,0),4)</f>
        <v>-1</v>
      </c>
      <c r="G6" s="61">
        <f>INDEX('11of st. k.'!B4:G29,MATCH(3,B4:B29,0),5)</f>
        <v>9</v>
      </c>
      <c r="H6" s="6">
        <f>INDEX('11of st. k.'!B4:G29,MATCH(3,B4:B29,0),6)</f>
        <v>7</v>
      </c>
    </row>
    <row r="7" spans="2:8" x14ac:dyDescent="0.2">
      <c r="B7" s="6">
        <f>RANK('11of st. k.'!C7,'11of st. k.'!$C$4:'11of st. k.'!$C$29,1)+COUNTIF('11of st. k.'!$C$4:'11of st. k.'!C7,'11of st. k.'!C7)-1</f>
        <v>21</v>
      </c>
      <c r="C7" s="5" t="str">
        <f>INDEX('11of st. k.'!B4:G29,MATCH(4,B4:B29,0),1)</f>
        <v>Przemyśl</v>
      </c>
      <c r="D7" s="6">
        <f>INDEX('11of st. k.'!B4:G29,MATCH(4,B4:B29,0),2)</f>
        <v>25</v>
      </c>
      <c r="E7" s="61">
        <f>INDEX('11of st. k.'!B4:G29,MATCH(4,B4:B29,0),3)</f>
        <v>50</v>
      </c>
      <c r="F7" s="6">
        <f>INDEX('11of st. k.'!B4:G29,MATCH(4,B4:B29,0),4)</f>
        <v>-25</v>
      </c>
      <c r="G7" s="61">
        <f>INDEX('11of st. k.'!B4:G29,MATCH(4,B4:B29,0),5)</f>
        <v>26</v>
      </c>
      <c r="H7" s="6">
        <f>INDEX('11of st. k.'!B4:G29,MATCH(4,B4:B29,0),6)</f>
        <v>-1</v>
      </c>
    </row>
    <row r="8" spans="2:8" x14ac:dyDescent="0.2">
      <c r="B8" s="6">
        <f>RANK('11of st. k.'!C8,'11of st. k.'!$C$4:'11of st. k.'!$C$29,1)+COUNTIF('11of st. k.'!$C$4:'11of st. k.'!C8,'11of st. k.'!C8)-1</f>
        <v>23</v>
      </c>
      <c r="C8" s="5" t="str">
        <f>INDEX('11of st. k.'!B4:G29,MATCH(5,B4:B29,0),1)</f>
        <v>bieszczadzki</v>
      </c>
      <c r="D8" s="6">
        <f>INDEX('11of st. k.'!B4:G29,MATCH(5,B4:B29,0),2)</f>
        <v>28</v>
      </c>
      <c r="E8" s="61">
        <f>INDEX('11of st. k.'!B4:G29,MATCH(5,B4:B29,0),3)</f>
        <v>47</v>
      </c>
      <c r="F8" s="6">
        <f>INDEX('11of st. k.'!B4:G29,MATCH(5,B4:B29,0),4)</f>
        <v>-19</v>
      </c>
      <c r="G8" s="61">
        <f>INDEX('11of st. k.'!B4:G29,MATCH(5,B4:B29,0),5)</f>
        <v>43</v>
      </c>
      <c r="H8" s="6">
        <f>INDEX('11of st. k.'!B4:G29,MATCH(5,B4:B29,0),6)</f>
        <v>-15</v>
      </c>
    </row>
    <row r="9" spans="2:8" x14ac:dyDescent="0.2">
      <c r="B9" s="6">
        <f>RANK('11of st. k.'!C9,'11of st. k.'!$C$4:'11of st. k.'!$C$29,1)+COUNTIF('11of st. k.'!$C$4:'11of st. k.'!C9,'11of st. k.'!C9)-1</f>
        <v>8</v>
      </c>
      <c r="C9" s="5" t="str">
        <f>INDEX('11of st. k.'!B4:G29,MATCH(6,B4:B29,0),1)</f>
        <v>łańcucki</v>
      </c>
      <c r="D9" s="6">
        <f>INDEX('11of st. k.'!B4:G29,MATCH(6,B4:B29,0),2)</f>
        <v>39</v>
      </c>
      <c r="E9" s="61">
        <f>INDEX('11of st. k.'!B4:G29,MATCH(6,B4:B29,0),3)</f>
        <v>48</v>
      </c>
      <c r="F9" s="6">
        <f>INDEX('11of st. k.'!B4:G29,MATCH(6,B4:B29,0),4)</f>
        <v>-9</v>
      </c>
      <c r="G9" s="61">
        <f>INDEX('11of st. k.'!B4:G29,MATCH(6,B4:B29,0),5)</f>
        <v>47</v>
      </c>
      <c r="H9" s="6">
        <f>INDEX('11of st. k.'!B4:G29,MATCH(6,B4:B29,0),6)</f>
        <v>-8</v>
      </c>
    </row>
    <row r="10" spans="2:8" x14ac:dyDescent="0.2">
      <c r="B10" s="6">
        <f>RANK('11of st. k.'!C10,'11of st. k.'!$C$4:'11of st. k.'!$C$29,1)+COUNTIF('11of st. k.'!$C$4:'11of st. k.'!C10,'11of st. k.'!C10)-1</f>
        <v>9</v>
      </c>
      <c r="C10" s="9" t="str">
        <f>INDEX('11of st. k.'!B4:G29,MATCH(7,B4:B29,0),1)</f>
        <v>Krosno</v>
      </c>
      <c r="D10" s="6">
        <f>INDEX('11of st. k.'!B4:G29,MATCH(7,B4:B29,0),2)</f>
        <v>45</v>
      </c>
      <c r="E10" s="61">
        <f>INDEX('11of st. k.'!B4:G29,MATCH(7,B4:B29,0),3)</f>
        <v>44</v>
      </c>
      <c r="F10" s="6">
        <f>INDEX('11of st. k.'!B4:G29,MATCH(7,B4:B29,0),4)</f>
        <v>1</v>
      </c>
      <c r="G10" s="61">
        <f>INDEX('11of st. k.'!B4:G29,MATCH(7,B4:B29,0),5)</f>
        <v>41</v>
      </c>
      <c r="H10" s="6">
        <f>INDEX('11of st. k.'!B4:G29,MATCH(7,B4:B29,0),6)</f>
        <v>4</v>
      </c>
    </row>
    <row r="11" spans="2:8" x14ac:dyDescent="0.2">
      <c r="B11" s="6">
        <f>RANK('11of st. k.'!C11,'11of st. k.'!$C$4:'11of st. k.'!$C$29,1)+COUNTIF('11of st. k.'!$C$4:'11of st. k.'!C11,'11of st. k.'!C11)-1</f>
        <v>2</v>
      </c>
      <c r="C11" s="5" t="str">
        <f>INDEX('11of st. k.'!B4:G29,MATCH(8,B4:B29,0),1)</f>
        <v>kolbuszowski</v>
      </c>
      <c r="D11" s="6">
        <f>INDEX('11of st. k.'!B4:G29,MATCH(8,B4:B29,0),2)</f>
        <v>52</v>
      </c>
      <c r="E11" s="61">
        <f>INDEX('11of st. k.'!B4:G29,MATCH(8,B4:B29,0),3)</f>
        <v>69</v>
      </c>
      <c r="F11" s="6">
        <f>INDEX('11of st. k.'!B4:G29,MATCH(8,B4:B29,0),4)</f>
        <v>-17</v>
      </c>
      <c r="G11" s="61">
        <f>INDEX('11of st. k.'!B4:G29,MATCH(8,B4:B29,0),5)</f>
        <v>83</v>
      </c>
      <c r="H11" s="6">
        <f>INDEX('11of st. k.'!B4:G29,MATCH(8,B4:B29,0),6)</f>
        <v>-31</v>
      </c>
    </row>
    <row r="12" spans="2:8" x14ac:dyDescent="0.2">
      <c r="B12" s="6">
        <f>RANK('11of st. k.'!C12,'11of st. k.'!$C$4:'11of st. k.'!$C$29,1)+COUNTIF('11of st. k.'!$C$4:'11of st. k.'!C12,'11of st. k.'!C12)-1</f>
        <v>12</v>
      </c>
      <c r="C12" s="5" t="str">
        <f>INDEX('11of st. k.'!B4:G29,MATCH(9,B4:B29,0),1)</f>
        <v>krośnieński</v>
      </c>
      <c r="D12" s="6">
        <f>INDEX('11of st. k.'!B4:G29,MATCH(9,B4:B29,0),2)</f>
        <v>53</v>
      </c>
      <c r="E12" s="61">
        <f>INDEX('11of st. k.'!B4:G29,MATCH(9,B4:B29,0),3)</f>
        <v>108</v>
      </c>
      <c r="F12" s="6">
        <f>INDEX('11of st. k.'!B4:G29,MATCH(9,B4:B29,0),4)</f>
        <v>-55</v>
      </c>
      <c r="G12" s="61">
        <f>INDEX('11of st. k.'!B4:G29,MATCH(9,B4:B29,0),5)</f>
        <v>41</v>
      </c>
      <c r="H12" s="6">
        <f>INDEX('11of st. k.'!B4:G29,MATCH(9,B4:B29,0),6)</f>
        <v>12</v>
      </c>
    </row>
    <row r="13" spans="2:8" x14ac:dyDescent="0.2">
      <c r="B13" s="6">
        <f>RANK('11of st. k.'!C13,'11of st. k.'!$C$4:'11of st. k.'!$C$29,1)+COUNTIF('11of st. k.'!$C$4:'11of st. k.'!C13,'11of st. k.'!C13)-1</f>
        <v>17</v>
      </c>
      <c r="C13" s="5" t="str">
        <f>INDEX('11of st. k.'!B4:G29,MATCH(10,B4:B29,0),1)</f>
        <v>ropczycko-sędziszowski</v>
      </c>
      <c r="D13" s="6">
        <f>INDEX('11of st. k.'!B4:G29,MATCH(10,B4:B29,0),2)</f>
        <v>59</v>
      </c>
      <c r="E13" s="61">
        <f>INDEX('11of st. k.'!B4:G29,MATCH(10,B4:B29,0),3)</f>
        <v>81</v>
      </c>
      <c r="F13" s="6">
        <f>INDEX('11of st. k.'!B4:G29,MATCH(10,B4:B29,0),4)</f>
        <v>-22</v>
      </c>
      <c r="G13" s="61">
        <f>INDEX('11of st. k.'!B4:G29,MATCH(10,B4:B29,0),5)</f>
        <v>114</v>
      </c>
      <c r="H13" s="6">
        <f>INDEX('11of st. k.'!B4:G29,MATCH(10,B4:B29,0),6)</f>
        <v>-55</v>
      </c>
    </row>
    <row r="14" spans="2:8" x14ac:dyDescent="0.2">
      <c r="B14" s="6">
        <f>RANK('11of st. k.'!C14,'11of st. k.'!$C$4:'11of st. k.'!$C$29,1)+COUNTIF('11of st. k.'!$C$4:'11of st. k.'!C14,'11of st. k.'!C14)-1</f>
        <v>6</v>
      </c>
      <c r="C14" s="5" t="str">
        <f>INDEX('11of st. k.'!B4:G29,MATCH(11,B4:B29,0),1)</f>
        <v>Tarnobrzeg</v>
      </c>
      <c r="D14" s="6">
        <f>INDEX('11of st. k.'!B4:G29,MATCH(11,B4:B29,0),2)</f>
        <v>61</v>
      </c>
      <c r="E14" s="61">
        <f>INDEX('11of st. k.'!B4:G29,MATCH(11,B4:B29,0),3)</f>
        <v>56</v>
      </c>
      <c r="F14" s="6">
        <f>INDEX('11of st. k.'!B4:G29,MATCH(11,B4:B29,0),4)</f>
        <v>5</v>
      </c>
      <c r="G14" s="61">
        <f>INDEX('11of st. k.'!B4:G29,MATCH(11,B4:B29,0),5)</f>
        <v>80</v>
      </c>
      <c r="H14" s="6">
        <f>INDEX('11of st. k.'!B4:G29,MATCH(11,B4:B29,0),6)</f>
        <v>-19</v>
      </c>
    </row>
    <row r="15" spans="2:8" x14ac:dyDescent="0.2">
      <c r="B15" s="6">
        <f>RANK('11of st. k.'!C15,'11of st. k.'!$C$4:'11of st. k.'!$C$29,1)+COUNTIF('11of st. k.'!$C$4:'11of st. k.'!C15,'11of st. k.'!C15)-1</f>
        <v>24</v>
      </c>
      <c r="C15" s="5" t="str">
        <f>INDEX('11of st. k.'!B4:G29,MATCH(12,B4:B29,0),1)</f>
        <v>leżajski</v>
      </c>
      <c r="D15" s="6">
        <f>INDEX('11of st. k.'!B4:G29,MATCH(12,B4:B29,0),2)</f>
        <v>62</v>
      </c>
      <c r="E15" s="61">
        <f>INDEX('11of st. k.'!B4:G29,MATCH(12,B4:B29,0),3)</f>
        <v>59</v>
      </c>
      <c r="F15" s="6">
        <f>INDEX('11of st. k.'!B4:G29,MATCH(12,B4:B29,0),4)</f>
        <v>3</v>
      </c>
      <c r="G15" s="61">
        <f>INDEX('11of st. k.'!B4:G29,MATCH(12,B4:B29,0),5)</f>
        <v>148</v>
      </c>
      <c r="H15" s="6">
        <f>INDEX('11of st. k.'!B4:G29,MATCH(12,B4:B29,0),6)</f>
        <v>-86</v>
      </c>
    </row>
    <row r="16" spans="2:8" x14ac:dyDescent="0.2">
      <c r="B16" s="6">
        <f>RANK('11of st. k.'!C16,'11of st. k.'!$C$4:'11of st. k.'!$C$29,1)+COUNTIF('11of st. k.'!$C$4:'11of st. k.'!C16,'11of st. k.'!C16)-1</f>
        <v>13</v>
      </c>
      <c r="C16" s="5" t="str">
        <f>INDEX('11of st. k.'!B4:G29,MATCH(13,B4:B29,0),1)</f>
        <v>niżański</v>
      </c>
      <c r="D16" s="6">
        <f>INDEX('11of st. k.'!B4:G29,MATCH(13,B4:B29,0),2)</f>
        <v>70</v>
      </c>
      <c r="E16" s="61">
        <f>INDEX('11of st. k.'!B4:G29,MATCH(13,B4:B29,0),3)</f>
        <v>68</v>
      </c>
      <c r="F16" s="6">
        <f>INDEX('11of st. k.'!B4:G29,MATCH(13,B4:B29,0),4)</f>
        <v>2</v>
      </c>
      <c r="G16" s="61">
        <f>INDEX('11of st. k.'!B4:G29,MATCH(13,B4:B29,0),5)</f>
        <v>102</v>
      </c>
      <c r="H16" s="6">
        <f>INDEX('11of st. k.'!B4:G29,MATCH(13,B4:B29,0),6)</f>
        <v>-32</v>
      </c>
    </row>
    <row r="17" spans="2:8" x14ac:dyDescent="0.2">
      <c r="B17" s="6">
        <f>RANK('11of st. k.'!C17,'11of st. k.'!$C$4:'11of st. k.'!$C$29,1)+COUNTIF('11of st. k.'!$C$4:'11of st. k.'!C17,'11of st. k.'!C17)-1</f>
        <v>3</v>
      </c>
      <c r="C17" s="5" t="str">
        <f>INDEX('11of st. k.'!B4:G29,MATCH(14,B4:B29,0),1)</f>
        <v xml:space="preserve">tarnobrzeski </v>
      </c>
      <c r="D17" s="6">
        <f>INDEX('11of st. k.'!B4:G29,MATCH(14,B4:B29,0),2)</f>
        <v>72</v>
      </c>
      <c r="E17" s="61">
        <f>INDEX('11of st. k.'!B4:G29,MATCH(14,B4:B29,0),3)</f>
        <v>86</v>
      </c>
      <c r="F17" s="6">
        <f>INDEX('11of st. k.'!B4:G29,MATCH(14,B4:B29,0),4)</f>
        <v>-14</v>
      </c>
      <c r="G17" s="61">
        <f>INDEX('11of st. k.'!B4:G29,MATCH(14,B4:B29,0),5)</f>
        <v>154</v>
      </c>
      <c r="H17" s="6">
        <f>INDEX('11of st. k.'!B4:G29,MATCH(14,B4:B29,0),6)</f>
        <v>-82</v>
      </c>
    </row>
    <row r="18" spans="2:8" x14ac:dyDescent="0.2">
      <c r="B18" s="6">
        <f>RANK('11of st. k.'!C18,'11of st. k.'!$C$4:'11of st. k.'!$C$29,1)+COUNTIF('11of st. k.'!$C$4:'11of st. k.'!C18,'11of st. k.'!C18)-1</f>
        <v>22</v>
      </c>
      <c r="C18" s="5" t="str">
        <f>INDEX('11of st. k.'!B4:G29,MATCH(15,B4:B29,0),1)</f>
        <v>stalowowolski</v>
      </c>
      <c r="D18" s="6">
        <f>INDEX('11of st. k.'!B4:G29,MATCH(15,B4:B29,0),2)</f>
        <v>73</v>
      </c>
      <c r="E18" s="61">
        <f>INDEX('11of st. k.'!B4:G29,MATCH(15,B4:B29,0),3)</f>
        <v>77</v>
      </c>
      <c r="F18" s="6">
        <f>INDEX('11of st. k.'!B4:G29,MATCH(15,B4:B29,0),4)</f>
        <v>-4</v>
      </c>
      <c r="G18" s="61">
        <f>INDEX('11of st. k.'!B4:G29,MATCH(15,B4:B29,0),5)</f>
        <v>89</v>
      </c>
      <c r="H18" s="6">
        <f>INDEX('11of st. k.'!B4:G29,MATCH(15,B4:B29,0),6)</f>
        <v>-16</v>
      </c>
    </row>
    <row r="19" spans="2:8" x14ac:dyDescent="0.2">
      <c r="B19" s="6">
        <f>RANK('11of st. k.'!C19,'11of st. k.'!$C$4:'11of st. k.'!$C$29,1)+COUNTIF('11of st. k.'!$C$4:'11of st. k.'!C19,'11of st. k.'!C19)-1</f>
        <v>10</v>
      </c>
      <c r="C19" s="5" t="str">
        <f>INDEX('11of st. k.'!B4:G29,MATCH(16,B4:B29,0),1)</f>
        <v>sanocki</v>
      </c>
      <c r="D19" s="6">
        <f>INDEX('11of st. k.'!B4:G29,MATCH(16,B4:B29,0),2)</f>
        <v>75</v>
      </c>
      <c r="E19" s="61">
        <f>INDEX('11of st. k.'!B4:G29,MATCH(16,B4:B29,0),3)</f>
        <v>54</v>
      </c>
      <c r="F19" s="6">
        <f>INDEX('11of st. k.'!B4:G29,MATCH(16,B4:B29,0),4)</f>
        <v>21</v>
      </c>
      <c r="G19" s="61">
        <f>INDEX('11of st. k.'!B4:G29,MATCH(16,B4:B29,0),5)</f>
        <v>42</v>
      </c>
      <c r="H19" s="6">
        <f>INDEX('11of st. k.'!B4:G29,MATCH(16,B4:B29,0),6)</f>
        <v>33</v>
      </c>
    </row>
    <row r="20" spans="2:8" x14ac:dyDescent="0.2">
      <c r="B20" s="6">
        <f>RANK('11of st. k.'!C20,'11of st. k.'!$C$4:'11of st. k.'!$C$29,1)+COUNTIF('11of st. k.'!$C$4:'11of st. k.'!C20,'11of st. k.'!C20)-1</f>
        <v>19</v>
      </c>
      <c r="C20" s="5" t="str">
        <f>INDEX('11of st. k.'!B4:G29,MATCH(17,B4:B29,0),1)</f>
        <v>lubaczowski</v>
      </c>
      <c r="D20" s="6">
        <f>INDEX('11of st. k.'!B4:G29,MATCH(17,B4:B29,0),2)</f>
        <v>79</v>
      </c>
      <c r="E20" s="61">
        <f>INDEX('11of st. k.'!B4:G29,MATCH(17,B4:B29,0),3)</f>
        <v>41</v>
      </c>
      <c r="F20" s="6">
        <f>INDEX('11of st. k.'!B4:G29,MATCH(17,B4:B29,0),4)</f>
        <v>38</v>
      </c>
      <c r="G20" s="61">
        <f>INDEX('11of st. k.'!B4:G29,MATCH(17,B4:B29,0),5)</f>
        <v>58</v>
      </c>
      <c r="H20" s="6">
        <f>INDEX('11of st. k.'!B4:G29,MATCH(17,B4:B29,0),6)</f>
        <v>21</v>
      </c>
    </row>
    <row r="21" spans="2:8" x14ac:dyDescent="0.2">
      <c r="B21" s="6">
        <f>RANK('11of st. k.'!C21,'11of st. k.'!$C$4:'11of st. k.'!$C$29,1)+COUNTIF('11of st. k.'!$C$4:'11of st. k.'!C21,'11of st. k.'!C21)-1</f>
        <v>16</v>
      </c>
      <c r="C21" s="5" t="str">
        <f>INDEX('11of st. k.'!B4:G29,MATCH(18,B4:B29,0),1)</f>
        <v>strzyżowski</v>
      </c>
      <c r="D21" s="6">
        <f>INDEX('11of st. k.'!B4:G29,MATCH(18,B4:B29,0),2)</f>
        <v>84</v>
      </c>
      <c r="E21" s="61">
        <f>INDEX('11of st. k.'!B4:G29,MATCH(18,B4:B29,0),3)</f>
        <v>53</v>
      </c>
      <c r="F21" s="6">
        <f>INDEX('11of st. k.'!B4:G29,MATCH(18,B4:B29,0),4)</f>
        <v>31</v>
      </c>
      <c r="G21" s="61">
        <f>INDEX('11of st. k.'!B4:G29,MATCH(18,B4:B29,0),5)</f>
        <v>111</v>
      </c>
      <c r="H21" s="6">
        <f>INDEX('11of st. k.'!B4:G29,MATCH(18,B4:B29,0),6)</f>
        <v>-27</v>
      </c>
    </row>
    <row r="22" spans="2:8" x14ac:dyDescent="0.2">
      <c r="B22" s="6">
        <f>RANK('11of st. k.'!C22,'11of st. k.'!$C$4:'11of st. k.'!$C$29,1)+COUNTIF('11of st. k.'!$C$4:'11of st. k.'!C22,'11of st. k.'!C22)-1</f>
        <v>15</v>
      </c>
      <c r="C22" s="5" t="str">
        <f>INDEX('11of st. k.'!B4:G29,MATCH(19,B4:B29,0),1)</f>
        <v>rzeszowski</v>
      </c>
      <c r="D22" s="6">
        <f>INDEX('11of st. k.'!B4:G29,MATCH(19,B4:B29,0),2)</f>
        <v>91</v>
      </c>
      <c r="E22" s="61">
        <f>INDEX('11of st. k.'!B4:G29,MATCH(19,B4:B29,0),3)</f>
        <v>103</v>
      </c>
      <c r="F22" s="6">
        <f>INDEX('11of st. k.'!B4:G29,MATCH(19,B4:B29,0),4)</f>
        <v>-12</v>
      </c>
      <c r="G22" s="61">
        <f>INDEX('11of st. k.'!B4:G29,MATCH(19,B4:B29,0),5)</f>
        <v>103</v>
      </c>
      <c r="H22" s="6">
        <f>INDEX('11of st. k.'!B4:G29,MATCH(19,B4:B29,0),6)</f>
        <v>-12</v>
      </c>
    </row>
    <row r="23" spans="2:8" x14ac:dyDescent="0.2">
      <c r="B23" s="6">
        <f>RANK('11of st. k.'!C23,'11of st. k.'!$C$4:'11of st. k.'!$C$29,1)+COUNTIF('11of st. k.'!$C$4:'11of st. k.'!C23,'11of st. k.'!C23)-1</f>
        <v>18</v>
      </c>
      <c r="C23" s="5" t="str">
        <f>INDEX('11of st. k.'!B4:G29,MATCH(20,B4:B29,0),1)</f>
        <v>dębicki</v>
      </c>
      <c r="D23" s="6">
        <f>INDEX('11of st. k.'!B4:G29,MATCH(20,B4:B29,0),2)</f>
        <v>117</v>
      </c>
      <c r="E23" s="61">
        <f>INDEX('11of st. k.'!B4:G29,MATCH(20,B4:B29,0),3)</f>
        <v>134</v>
      </c>
      <c r="F23" s="6">
        <f>INDEX('11of st. k.'!B4:G29,MATCH(20,B4:B29,0),4)</f>
        <v>-17</v>
      </c>
      <c r="G23" s="61">
        <f>INDEX('11of st. k.'!B4:G29,MATCH(20,B4:B29,0),5)</f>
        <v>191</v>
      </c>
      <c r="H23" s="6">
        <f>INDEX('11of st. k.'!B4:G29,MATCH(20,B4:B29,0),6)</f>
        <v>-74</v>
      </c>
    </row>
    <row r="24" spans="2:8" x14ac:dyDescent="0.2">
      <c r="B24" s="6">
        <f>RANK('11of st. k.'!C24,'11of st. k.'!$C$4:'11of st. k.'!$C$29,1)+COUNTIF('11of st. k.'!$C$4:'11of st. k.'!C24,'11of st. k.'!C24)-1</f>
        <v>14</v>
      </c>
      <c r="C24" s="5" t="str">
        <f>INDEX('11of st. k.'!B4:G29,MATCH(21,B4:B29,0),1)</f>
        <v>jarosławski</v>
      </c>
      <c r="D24" s="6">
        <f>INDEX('11of st. k.'!B4:G29,MATCH(21,B4:B29,0),2)</f>
        <v>124</v>
      </c>
      <c r="E24" s="61">
        <f>INDEX('11of st. k.'!B4:G29,MATCH(21,B4:B29,0),3)</f>
        <v>160</v>
      </c>
      <c r="F24" s="6">
        <f>INDEX('11of st. k.'!B4:G29,MATCH(21,B4:B29,0),4)</f>
        <v>-36</v>
      </c>
      <c r="G24" s="61">
        <f>INDEX('11of st. k.'!B4:G29,MATCH(21,B4:B29,0),5)</f>
        <v>91</v>
      </c>
      <c r="H24" s="6">
        <f>INDEX('11of st. k.'!B4:G29,MATCH(21,B4:B29,0),6)</f>
        <v>33</v>
      </c>
    </row>
    <row r="25" spans="2:8" x14ac:dyDescent="0.2">
      <c r="B25" s="6">
        <f>RANK('11of st. k.'!C25,'11of st. k.'!$C$4:'11of st. k.'!$C$29,1)+COUNTIF('11of st. k.'!$C$4:'11of st. k.'!C25,'11of st. k.'!C25)-1</f>
        <v>7</v>
      </c>
      <c r="C25" s="5" t="str">
        <f>INDEX('11of st. k.'!B4:G29,MATCH(22,B4:B29,0),1)</f>
        <v>przeworski</v>
      </c>
      <c r="D25" s="6">
        <f>INDEX('11of st. k.'!B4:G29,MATCH(22,B4:B29,0),2)</f>
        <v>144</v>
      </c>
      <c r="E25" s="61">
        <f>INDEX('11of st. k.'!B4:G29,MATCH(22,B4:B29,0),3)</f>
        <v>214</v>
      </c>
      <c r="F25" s="6">
        <f>INDEX('11of st. k.'!B4:G29,MATCH(22,B4:B29,0),4)</f>
        <v>-70</v>
      </c>
      <c r="G25" s="61">
        <f>INDEX('11of st. k.'!B4:G29,MATCH(22,B4:B29,0),5)</f>
        <v>115</v>
      </c>
      <c r="H25" s="6">
        <f>INDEX('11of st. k.'!B4:G29,MATCH(22,B4:B29,0),6)</f>
        <v>29</v>
      </c>
    </row>
    <row r="26" spans="2:8" x14ac:dyDescent="0.2">
      <c r="B26" s="6">
        <f>RANK('11of st. k.'!C26,'11of st. k.'!$C$4:'11of st. k.'!$C$29,1)+COUNTIF('11of st. k.'!$C$4:'11of st. k.'!C26,'11of st. k.'!C26)-1</f>
        <v>4</v>
      </c>
      <c r="C26" s="5" t="str">
        <f>INDEX('11of st. k.'!B4:G29,MATCH(23,B4:B29,0),1)</f>
        <v>jasielski</v>
      </c>
      <c r="D26" s="6">
        <f>INDEX('11of st. k.'!B4:G29,MATCH(23,B4:B29,0),2)</f>
        <v>155</v>
      </c>
      <c r="E26" s="61">
        <f>INDEX('11of st. k.'!B4:G29,MATCH(23,B4:B29,0),3)</f>
        <v>153</v>
      </c>
      <c r="F26" s="6">
        <f>INDEX('11of st. k.'!B4:G29,MATCH(23,B4:B29,0),4)</f>
        <v>2</v>
      </c>
      <c r="G26" s="61">
        <f>INDEX('11of st. k.'!B4:G29,MATCH(23,B4:B29,0),5)</f>
        <v>125</v>
      </c>
      <c r="H26" s="6">
        <f>INDEX('11of st. k.'!B4:G29,MATCH(23,B4:B29,0),6)</f>
        <v>30</v>
      </c>
    </row>
    <row r="27" spans="2:8" x14ac:dyDescent="0.2">
      <c r="B27" s="6">
        <f>RANK('11of st. k.'!C27,'11of st. k.'!$C$4:'11of st. k.'!$C$29,1)+COUNTIF('11of st. k.'!$C$4:'11of st. k.'!C27,'11of st. k.'!C27)-1</f>
        <v>25</v>
      </c>
      <c r="C27" s="5" t="str">
        <f>INDEX('11of st. k.'!B4:G29,MATCH(24,B4:B29,0),1)</f>
        <v>mielecki</v>
      </c>
      <c r="D27" s="6">
        <f>INDEX('11of st. k.'!B4:G29,MATCH(24,B4:B29,0),2)</f>
        <v>230</v>
      </c>
      <c r="E27" s="61">
        <f>INDEX('11of st. k.'!B4:G29,MATCH(24,B4:B29,0),3)</f>
        <v>220</v>
      </c>
      <c r="F27" s="6">
        <f>INDEX('11of st. k.'!B4:G29,MATCH(24,B4:B29,0),4)</f>
        <v>10</v>
      </c>
      <c r="G27" s="61">
        <f>INDEX('11of st. k.'!B4:G29,MATCH(24,B4:B29,0),5)</f>
        <v>354</v>
      </c>
      <c r="H27" s="6">
        <f>INDEX('11of st. k.'!B4:G29,MATCH(24,B4:B29,0),6)</f>
        <v>-124</v>
      </c>
    </row>
    <row r="28" spans="2:8" x14ac:dyDescent="0.2">
      <c r="B28" s="6">
        <f>RANK('11of st. k.'!C28,'11of st. k.'!$C$4:'11of st. k.'!$C$29,1)+COUNTIF('11of st. k.'!$C$4:'11of st. k.'!C28,'11of st. k.'!C28)-1</f>
        <v>11</v>
      </c>
      <c r="C28" s="5" t="str">
        <f>INDEX('11of st. k.'!B4:G29,MATCH(25,B4:B29,0),1)</f>
        <v>Rzeszów</v>
      </c>
      <c r="D28" s="6">
        <f>INDEX('11of st. k.'!B4:G29,MATCH(25,B4:B29,0),2)</f>
        <v>412</v>
      </c>
      <c r="E28" s="61">
        <f>INDEX('11of st. k.'!B4:G29,MATCH(25,B4:B29,0),3)</f>
        <v>538</v>
      </c>
      <c r="F28" s="6">
        <f>INDEX('11of st. k.'!B4:G29,MATCH(25,B4:B29,0),4)</f>
        <v>-126</v>
      </c>
      <c r="G28" s="61">
        <f>INDEX('11of st. k.'!B4:G29,MATCH(25,B4:B29,0),5)</f>
        <v>386</v>
      </c>
      <c r="H28" s="6">
        <f>INDEX('11of st. k.'!B4:G29,MATCH(25,B4:B29,0),6)</f>
        <v>26</v>
      </c>
    </row>
    <row r="29" spans="2:8" ht="15" x14ac:dyDescent="0.25">
      <c r="B29" s="59">
        <f>RANK('11of st. k.'!C29,'11of st. k.'!$C$4:'11of st. k.'!$C$29,1)+COUNTIF('11of st. k.'!$C$4:'11of st. k.'!C29,'11of st. k.'!C29)-1</f>
        <v>26</v>
      </c>
      <c r="C29" s="58" t="str">
        <f>INDEX('11of st. k.'!B4:G29,MATCH(26,B4:B29,0),1)</f>
        <v>województwo</v>
      </c>
      <c r="D29" s="59">
        <f>INDEX('11of st. k.'!B4:G29,MATCH(26,B4:B29,0),2)</f>
        <v>2183</v>
      </c>
      <c r="E29" s="63">
        <f>INDEX('11of st. k.'!B4:G29,MATCH(26,B4:B29,0),3)</f>
        <v>2549</v>
      </c>
      <c r="F29" s="59">
        <f>INDEX('11of st. k.'!B4:G29,MATCH(26,B4:B29,0),4)</f>
        <v>-366</v>
      </c>
      <c r="G29" s="63">
        <f>INDEX('11of st. k.'!B4:G29,MATCH(26,B4:B29,0),5)</f>
        <v>2601</v>
      </c>
      <c r="H29" s="59">
        <f>INDEX('11of st. k.'!B4:G29,MATCH(26,B4:B29,0),6)</f>
        <v>-418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9" tint="-0.249977111117893"/>
  </sheetPr>
  <dimension ref="B1:AA57"/>
  <sheetViews>
    <sheetView zoomScale="110" zoomScaleNormal="110" workbookViewId="0">
      <selection activeCell="B1" sqref="B1"/>
    </sheetView>
  </sheetViews>
  <sheetFormatPr defaultRowHeight="11.25" x14ac:dyDescent="0.2"/>
  <cols>
    <col min="1" max="1" width="3.28515625" style="84" customWidth="1"/>
    <col min="2" max="2" width="20" style="84" customWidth="1"/>
    <col min="3" max="7" width="9.140625" style="84"/>
    <col min="8" max="8" width="11.28515625" style="84" customWidth="1"/>
    <col min="9" max="16" width="9.140625" style="84"/>
    <col min="17" max="17" width="6.5703125" style="84" customWidth="1"/>
    <col min="18" max="18" width="6.28515625" style="84" customWidth="1"/>
    <col min="19" max="19" width="3.140625" style="84" customWidth="1"/>
    <col min="20" max="20" width="7.140625" style="84" customWidth="1"/>
    <col min="21" max="21" width="7" style="84" customWidth="1"/>
    <col min="22" max="26" width="9.140625" style="84"/>
    <col min="27" max="27" width="9.140625" style="189"/>
    <col min="28" max="16384" width="9.140625" style="84"/>
  </cols>
  <sheetData>
    <row r="1" spans="2:27" ht="14.25" customHeight="1" thickBot="1" x14ac:dyDescent="0.25">
      <c r="B1" s="104" t="s">
        <v>117</v>
      </c>
      <c r="C1" s="52"/>
      <c r="D1" s="52"/>
      <c r="E1" s="52"/>
      <c r="F1" s="52"/>
      <c r="G1" s="52"/>
      <c r="H1" s="52"/>
      <c r="I1" s="52"/>
      <c r="J1" s="52"/>
      <c r="K1" s="52"/>
      <c r="L1" s="83" t="s">
        <v>104</v>
      </c>
      <c r="M1" s="52"/>
      <c r="N1" s="52"/>
      <c r="O1" s="52"/>
      <c r="P1" s="52"/>
      <c r="Q1" s="52"/>
      <c r="R1" s="83" t="s">
        <v>105</v>
      </c>
      <c r="S1" s="83"/>
      <c r="T1" s="83"/>
      <c r="U1" s="52"/>
      <c r="V1" s="52"/>
      <c r="W1" s="52"/>
      <c r="X1" s="52"/>
      <c r="Y1" s="52"/>
      <c r="Z1" s="83"/>
    </row>
    <row r="2" spans="2:27" ht="45.75" thickBot="1" x14ac:dyDescent="0.25">
      <c r="B2" s="130" t="s">
        <v>27</v>
      </c>
      <c r="C2" s="131" t="s">
        <v>147</v>
      </c>
      <c r="D2" s="131" t="s">
        <v>146</v>
      </c>
      <c r="E2" s="132" t="s">
        <v>106</v>
      </c>
      <c r="F2" s="133" t="s">
        <v>148</v>
      </c>
      <c r="G2" s="134" t="s">
        <v>149</v>
      </c>
      <c r="H2" s="135" t="s">
        <v>107</v>
      </c>
      <c r="I2" s="139" t="s">
        <v>150</v>
      </c>
      <c r="J2" s="140" t="s">
        <v>151</v>
      </c>
      <c r="K2" s="141" t="s">
        <v>108</v>
      </c>
      <c r="L2" s="146" t="s">
        <v>109</v>
      </c>
      <c r="M2" s="147" t="s">
        <v>110</v>
      </c>
      <c r="N2" s="148" t="s">
        <v>152</v>
      </c>
      <c r="O2" s="148" t="s">
        <v>153</v>
      </c>
      <c r="P2" s="132" t="s">
        <v>157</v>
      </c>
      <c r="Q2" s="113" t="s">
        <v>111</v>
      </c>
      <c r="R2" s="114" t="s">
        <v>112</v>
      </c>
      <c r="S2" s="86"/>
      <c r="T2" s="111" t="s">
        <v>113</v>
      </c>
      <c r="U2" s="170" t="s">
        <v>114</v>
      </c>
      <c r="V2" s="111" t="s">
        <v>104</v>
      </c>
      <c r="W2" s="177" t="s">
        <v>104</v>
      </c>
      <c r="X2" s="111" t="s">
        <v>105</v>
      </c>
      <c r="Y2" s="177" t="s">
        <v>105</v>
      </c>
      <c r="Z2" s="183"/>
    </row>
    <row r="3" spans="2:27" x14ac:dyDescent="0.2">
      <c r="B3" s="105" t="s">
        <v>0</v>
      </c>
      <c r="C3" s="87">
        <v>398</v>
      </c>
      <c r="D3" s="106">
        <v>407</v>
      </c>
      <c r="E3" s="127">
        <f t="shared" ref="E3:E27" si="0">D3-C3</f>
        <v>9</v>
      </c>
      <c r="F3" s="85">
        <v>130</v>
      </c>
      <c r="G3" s="87">
        <v>177</v>
      </c>
      <c r="H3" s="89">
        <f t="shared" ref="H3:H27" si="1">G3-F3</f>
        <v>47</v>
      </c>
      <c r="I3" s="85">
        <v>127</v>
      </c>
      <c r="J3" s="87">
        <v>113</v>
      </c>
      <c r="K3" s="157">
        <f t="shared" ref="K3:K27" si="2">J3-I3</f>
        <v>-14</v>
      </c>
      <c r="L3" s="143">
        <f t="shared" ref="L3:L27" si="3">E3+H3+K3</f>
        <v>42</v>
      </c>
      <c r="M3" s="136">
        <v>1112</v>
      </c>
      <c r="N3" s="87">
        <v>802</v>
      </c>
      <c r="O3" s="87">
        <v>917</v>
      </c>
      <c r="P3" s="89">
        <v>997</v>
      </c>
      <c r="Q3" s="103">
        <f>SUM(M3)+N3-O3</f>
        <v>997</v>
      </c>
      <c r="R3" s="161">
        <f>SUM(P3-M3)</f>
        <v>-115</v>
      </c>
      <c r="S3" s="91"/>
      <c r="T3" s="103">
        <f>RANK(L3,$L$3:$L$27,1)+COUNTIF($L$3:L3,L3)-1</f>
        <v>23</v>
      </c>
      <c r="U3" s="171">
        <f>RANK(R3,$R$3:$R$27,1)+COUNTIF($R$3:R3,R3)-1</f>
        <v>13</v>
      </c>
      <c r="V3" s="178" t="str">
        <f>INDEX(B3:L27,MATCH(1,T3:T27,0),1)</f>
        <v>rzeszowski</v>
      </c>
      <c r="W3" s="89">
        <f>INDEX(B3:L27,MATCH(1,T3:T27,0),11)</f>
        <v>-326</v>
      </c>
      <c r="X3" s="178" t="str">
        <f>INDEX(B3:R27,MATCH(1,U3:U27,0),1)</f>
        <v>jarosławski</v>
      </c>
      <c r="Y3" s="89">
        <f>INDEX(B3:R27,MATCH(1,U3:U27,0),17)</f>
        <v>-452</v>
      </c>
      <c r="Z3" s="184">
        <v>1</v>
      </c>
      <c r="AA3" s="190">
        <f>SUM(T3)-U3</f>
        <v>10</v>
      </c>
    </row>
    <row r="4" spans="2:27" x14ac:dyDescent="0.2">
      <c r="B4" s="107" t="s">
        <v>1</v>
      </c>
      <c r="C4" s="93">
        <v>1094</v>
      </c>
      <c r="D4" s="108">
        <v>1116</v>
      </c>
      <c r="E4" s="128">
        <f t="shared" si="0"/>
        <v>22</v>
      </c>
      <c r="F4" s="97">
        <v>311</v>
      </c>
      <c r="G4" s="93">
        <v>309</v>
      </c>
      <c r="H4" s="156">
        <f t="shared" si="1"/>
        <v>-2</v>
      </c>
      <c r="I4" s="97">
        <v>189</v>
      </c>
      <c r="J4" s="93">
        <v>168</v>
      </c>
      <c r="K4" s="156">
        <f t="shared" si="2"/>
        <v>-21</v>
      </c>
      <c r="L4" s="160">
        <f t="shared" si="3"/>
        <v>-1</v>
      </c>
      <c r="M4" s="137">
        <v>4038</v>
      </c>
      <c r="N4" s="93">
        <v>2076</v>
      </c>
      <c r="O4" s="93">
        <v>2506</v>
      </c>
      <c r="P4" s="96">
        <v>3608</v>
      </c>
      <c r="Q4" s="97">
        <f t="shared" ref="Q4:Q27" si="4">SUM(M4)+N4-O4</f>
        <v>3608</v>
      </c>
      <c r="R4" s="162">
        <f>SUM(P4-M4)</f>
        <v>-430</v>
      </c>
      <c r="S4" s="91"/>
      <c r="T4" s="90">
        <f>RANK(L4,$L$3:$L$27,1)+COUNTIF($L$3:L4,L4)-1</f>
        <v>18</v>
      </c>
      <c r="U4" s="172">
        <f>RANK(R4,$R$3:$R$27,1)+COUNTIF($R$3:R4,R4)-1</f>
        <v>2</v>
      </c>
      <c r="V4" s="179" t="str">
        <f>INDEX(B3:L27,MATCH(2,T3:T27,0),1)</f>
        <v>mielecki</v>
      </c>
      <c r="W4" s="96">
        <f>INDEX(B3:L27,MATCH(2,T3:T27,0),11)</f>
        <v>-315</v>
      </c>
      <c r="X4" s="179" t="str">
        <f>INDEX(B3:R27,MATCH(2,U3:U27,0),1)</f>
        <v>brzozowski</v>
      </c>
      <c r="Y4" s="96">
        <f>INDEX(B3:R27,MATCH(2,U3:U27,0),17)</f>
        <v>-430</v>
      </c>
      <c r="Z4" s="185">
        <v>2</v>
      </c>
      <c r="AA4" s="189">
        <f t="shared" ref="AA4:AA28" si="5">SUM(T4)-U4</f>
        <v>16</v>
      </c>
    </row>
    <row r="5" spans="2:27" x14ac:dyDescent="0.2">
      <c r="B5" s="107" t="s">
        <v>2</v>
      </c>
      <c r="C5" s="93">
        <v>1198</v>
      </c>
      <c r="D5" s="108">
        <v>1106</v>
      </c>
      <c r="E5" s="152">
        <f t="shared" si="0"/>
        <v>-92</v>
      </c>
      <c r="F5" s="97">
        <v>290</v>
      </c>
      <c r="G5" s="93">
        <v>290</v>
      </c>
      <c r="H5" s="96">
        <f t="shared" si="1"/>
        <v>0</v>
      </c>
      <c r="I5" s="97">
        <v>163</v>
      </c>
      <c r="J5" s="93">
        <v>141</v>
      </c>
      <c r="K5" s="156">
        <f t="shared" si="2"/>
        <v>-22</v>
      </c>
      <c r="L5" s="160">
        <f t="shared" si="3"/>
        <v>-114</v>
      </c>
      <c r="M5" s="137">
        <v>2435</v>
      </c>
      <c r="N5" s="93">
        <v>2557</v>
      </c>
      <c r="O5" s="93">
        <v>2606</v>
      </c>
      <c r="P5" s="96">
        <v>2386</v>
      </c>
      <c r="Q5" s="97">
        <f t="shared" si="4"/>
        <v>2386</v>
      </c>
      <c r="R5" s="156">
        <f t="shared" ref="R5:R27" si="6">SUM(P5-M5)</f>
        <v>-49</v>
      </c>
      <c r="S5" s="83"/>
      <c r="T5" s="90">
        <f>RANK(L5,$L$3:$L$27,1)+COUNTIF($L$3:L5,L5)-1</f>
        <v>11</v>
      </c>
      <c r="U5" s="172">
        <f>RANK(R5,$R$3:$R$27,1)+COUNTIF($R$3:R5,R5)-1</f>
        <v>18</v>
      </c>
      <c r="V5" s="179" t="str">
        <f>INDEX(B3:L27,MATCH(3,T3:T27,0),1)</f>
        <v>Rzeszów</v>
      </c>
      <c r="W5" s="96">
        <f>INDEX(B3:L27,MATCH(3,T3:T27,0),11)</f>
        <v>-275</v>
      </c>
      <c r="X5" s="179" t="str">
        <f>INDEX(B3:R27,MATCH(3,U3:U27,0),1)</f>
        <v>przeworski</v>
      </c>
      <c r="Y5" s="96">
        <f>INDEX(B3:R27,MATCH(3,U3:U27,0),17)</f>
        <v>-386</v>
      </c>
      <c r="Z5" s="185">
        <v>3</v>
      </c>
      <c r="AA5" s="189">
        <f t="shared" si="5"/>
        <v>-7</v>
      </c>
    </row>
    <row r="6" spans="2:27" x14ac:dyDescent="0.2">
      <c r="B6" s="107" t="s">
        <v>3</v>
      </c>
      <c r="C6" s="93">
        <v>1713</v>
      </c>
      <c r="D6" s="108">
        <v>1727</v>
      </c>
      <c r="E6" s="128">
        <f t="shared" si="0"/>
        <v>14</v>
      </c>
      <c r="F6" s="97">
        <v>684</v>
      </c>
      <c r="G6" s="93">
        <v>554</v>
      </c>
      <c r="H6" s="156">
        <f t="shared" si="1"/>
        <v>-130</v>
      </c>
      <c r="I6" s="97">
        <v>334</v>
      </c>
      <c r="J6" s="93">
        <v>294</v>
      </c>
      <c r="K6" s="156">
        <f t="shared" si="2"/>
        <v>-40</v>
      </c>
      <c r="L6" s="160">
        <f t="shared" si="3"/>
        <v>-156</v>
      </c>
      <c r="M6" s="137">
        <v>4674</v>
      </c>
      <c r="N6" s="93">
        <v>3358</v>
      </c>
      <c r="O6" s="93">
        <v>3810</v>
      </c>
      <c r="P6" s="96">
        <v>4222</v>
      </c>
      <c r="Q6" s="97">
        <f t="shared" si="4"/>
        <v>4222</v>
      </c>
      <c r="R6" s="156">
        <f t="shared" si="6"/>
        <v>-452</v>
      </c>
      <c r="S6" s="83"/>
      <c r="T6" s="90">
        <f>RANK(L6,$L$3:$L$27,1)+COUNTIF($L$3:L6,L6)-1</f>
        <v>6</v>
      </c>
      <c r="U6" s="172">
        <f>RANK(R6,$R$3:$R$27,1)+COUNTIF($R$3:R6,R6)-1</f>
        <v>1</v>
      </c>
      <c r="V6" s="179" t="str">
        <f>INDEX(B3:L27,MATCH(4,T3:T27,0),1)</f>
        <v>łańcucki</v>
      </c>
      <c r="W6" s="96">
        <f>INDEX(B3:L27,MATCH(4,T3:T27,0),11)</f>
        <v>-190</v>
      </c>
      <c r="X6" s="179" t="str">
        <f>INDEX(B3:R27,MATCH(4,U3:U27,0),1)</f>
        <v>przemyski</v>
      </c>
      <c r="Y6" s="96">
        <f>INDEX(B3:R27,MATCH(4,U3:U27,0),17)</f>
        <v>-344</v>
      </c>
      <c r="Z6" s="185">
        <v>4</v>
      </c>
      <c r="AA6" s="189">
        <f t="shared" si="5"/>
        <v>5</v>
      </c>
    </row>
    <row r="7" spans="2:27" x14ac:dyDescent="0.2">
      <c r="B7" s="107" t="s">
        <v>4</v>
      </c>
      <c r="C7" s="93">
        <v>1401</v>
      </c>
      <c r="D7" s="108">
        <v>1458</v>
      </c>
      <c r="E7" s="128">
        <f t="shared" si="0"/>
        <v>57</v>
      </c>
      <c r="F7" s="97">
        <v>464</v>
      </c>
      <c r="G7" s="93">
        <v>438</v>
      </c>
      <c r="H7" s="156">
        <f t="shared" si="1"/>
        <v>-26</v>
      </c>
      <c r="I7" s="97">
        <v>258</v>
      </c>
      <c r="J7" s="93">
        <v>230</v>
      </c>
      <c r="K7" s="156">
        <f t="shared" si="2"/>
        <v>-28</v>
      </c>
      <c r="L7" s="144">
        <f t="shared" si="3"/>
        <v>3</v>
      </c>
      <c r="M7" s="137">
        <v>4926</v>
      </c>
      <c r="N7" s="93">
        <v>3374</v>
      </c>
      <c r="O7" s="93">
        <v>3591</v>
      </c>
      <c r="P7" s="96">
        <v>4709</v>
      </c>
      <c r="Q7" s="97">
        <f t="shared" si="4"/>
        <v>4709</v>
      </c>
      <c r="R7" s="156">
        <f t="shared" si="6"/>
        <v>-217</v>
      </c>
      <c r="S7" s="83"/>
      <c r="T7" s="90">
        <f>RANK(L7,$L$3:$L$27,1)+COUNTIF($L$3:L7,L7)-1</f>
        <v>19</v>
      </c>
      <c r="U7" s="172">
        <f>RANK(R7,$R$3:$R$27,1)+COUNTIF($R$3:R7,R7)-1</f>
        <v>9</v>
      </c>
      <c r="V7" s="179" t="str">
        <f>INDEX(B3:L27,MATCH(5,T3:T27,0),1)</f>
        <v>stalowowolski</v>
      </c>
      <c r="W7" s="96">
        <f>INDEX(B3:L27,MATCH(5,T3:T27,0),11)</f>
        <v>-180</v>
      </c>
      <c r="X7" s="179" t="str">
        <f>INDEX(B3:R27,MATCH(5,U3:U27,0),1)</f>
        <v>rzeszowski</v>
      </c>
      <c r="Y7" s="96">
        <f>INDEX(B3:R27,MATCH(5,U3:U27,0),17)</f>
        <v>-344</v>
      </c>
      <c r="Z7" s="185">
        <v>5</v>
      </c>
      <c r="AA7" s="189">
        <f t="shared" si="5"/>
        <v>10</v>
      </c>
    </row>
    <row r="8" spans="2:27" x14ac:dyDescent="0.2">
      <c r="B8" s="107" t="s">
        <v>5</v>
      </c>
      <c r="C8" s="93">
        <v>644</v>
      </c>
      <c r="D8" s="108">
        <v>639</v>
      </c>
      <c r="E8" s="152">
        <f t="shared" si="0"/>
        <v>-5</v>
      </c>
      <c r="F8" s="97">
        <v>116</v>
      </c>
      <c r="G8" s="93">
        <v>166</v>
      </c>
      <c r="H8" s="96">
        <f t="shared" si="1"/>
        <v>50</v>
      </c>
      <c r="I8" s="97">
        <v>183</v>
      </c>
      <c r="J8" s="93">
        <v>131</v>
      </c>
      <c r="K8" s="156">
        <f t="shared" si="2"/>
        <v>-52</v>
      </c>
      <c r="L8" s="160">
        <f t="shared" si="3"/>
        <v>-7</v>
      </c>
      <c r="M8" s="137">
        <v>1577</v>
      </c>
      <c r="N8" s="93">
        <v>1422</v>
      </c>
      <c r="O8" s="93">
        <v>1471</v>
      </c>
      <c r="P8" s="96">
        <v>1528</v>
      </c>
      <c r="Q8" s="97">
        <f t="shared" si="4"/>
        <v>1528</v>
      </c>
      <c r="R8" s="156">
        <f t="shared" si="6"/>
        <v>-49</v>
      </c>
      <c r="S8" s="83"/>
      <c r="T8" s="90">
        <f>RANK(L8,$L$3:$L$27,1)+COUNTIF($L$3:L8,L8)-1</f>
        <v>17</v>
      </c>
      <c r="U8" s="172">
        <f>RANK(R8,$R$3:$R$27,1)+COUNTIF($R$3:R8,R8)-1</f>
        <v>19</v>
      </c>
      <c r="V8" s="179" t="str">
        <f>INDEX(B3:L27,MATCH(6,T3:T27,0),1)</f>
        <v>jarosławski</v>
      </c>
      <c r="W8" s="96">
        <f>INDEX(B3:L27,MATCH(6,T3:T27,0),11)</f>
        <v>-156</v>
      </c>
      <c r="X8" s="179" t="str">
        <f>INDEX(B3:R27,MATCH(6,U3:U27,0),1)</f>
        <v>leżajski</v>
      </c>
      <c r="Y8" s="96">
        <f>INDEX(B3:R27,MATCH(6,U3:U27,0),17)</f>
        <v>-265</v>
      </c>
      <c r="Z8" s="185">
        <v>6</v>
      </c>
      <c r="AA8" s="191">
        <f t="shared" si="5"/>
        <v>-2</v>
      </c>
    </row>
    <row r="9" spans="2:27" x14ac:dyDescent="0.2">
      <c r="B9" s="107" t="s">
        <v>6</v>
      </c>
      <c r="C9" s="93">
        <v>790</v>
      </c>
      <c r="D9" s="108">
        <v>894</v>
      </c>
      <c r="E9" s="128">
        <f t="shared" si="0"/>
        <v>104</v>
      </c>
      <c r="F9" s="97">
        <v>190</v>
      </c>
      <c r="G9" s="93">
        <v>189</v>
      </c>
      <c r="H9" s="156">
        <f t="shared" si="1"/>
        <v>-1</v>
      </c>
      <c r="I9" s="97">
        <v>129</v>
      </c>
      <c r="J9" s="93">
        <v>95</v>
      </c>
      <c r="K9" s="156">
        <f t="shared" si="2"/>
        <v>-34</v>
      </c>
      <c r="L9" s="144">
        <f>E9+H9+K9</f>
        <v>69</v>
      </c>
      <c r="M9" s="137">
        <v>2018</v>
      </c>
      <c r="N9" s="93">
        <v>2103</v>
      </c>
      <c r="O9" s="93">
        <v>2026</v>
      </c>
      <c r="P9" s="96">
        <v>2095</v>
      </c>
      <c r="Q9" s="97">
        <f t="shared" si="4"/>
        <v>2095</v>
      </c>
      <c r="R9" s="193">
        <f>SUM(P9-M9)</f>
        <v>77</v>
      </c>
      <c r="S9" s="83"/>
      <c r="T9" s="90">
        <f>RANK(L9,$L$3:$L$27,1)+COUNTIF($L$3:L9,L9)-1</f>
        <v>25</v>
      </c>
      <c r="U9" s="172">
        <f>RANK(R9,$R$3:$R$27,1)+COUNTIF($R$3:R9,R9)-1</f>
        <v>24</v>
      </c>
      <c r="V9" s="179" t="str">
        <f>INDEX(B3:L27,MATCH(7,T3:T27,0),1)</f>
        <v>ropczycko-sędziszowski</v>
      </c>
      <c r="W9" s="96">
        <f>INDEX(B3:L27,MATCH(7,T3:T27,0),11)</f>
        <v>-138</v>
      </c>
      <c r="X9" s="179" t="str">
        <f>INDEX(B3:R27,MATCH(7,U3:U27,0),1)</f>
        <v>strzyżowski</v>
      </c>
      <c r="Y9" s="96">
        <f>INDEX(B3:R27,MATCH(7,U3:U27,0),17)</f>
        <v>-259</v>
      </c>
      <c r="Z9" s="185">
        <v>7</v>
      </c>
      <c r="AA9" s="191">
        <f t="shared" si="5"/>
        <v>1</v>
      </c>
    </row>
    <row r="10" spans="2:27" x14ac:dyDescent="0.2">
      <c r="B10" s="107" t="s">
        <v>7</v>
      </c>
      <c r="C10" s="93">
        <v>650</v>
      </c>
      <c r="D10" s="108">
        <v>610</v>
      </c>
      <c r="E10" s="152">
        <f t="shared" si="0"/>
        <v>-40</v>
      </c>
      <c r="F10" s="97">
        <v>143</v>
      </c>
      <c r="G10" s="93">
        <v>180</v>
      </c>
      <c r="H10" s="96">
        <f t="shared" si="1"/>
        <v>37</v>
      </c>
      <c r="I10" s="97">
        <v>83</v>
      </c>
      <c r="J10" s="93">
        <v>63</v>
      </c>
      <c r="K10" s="156">
        <f t="shared" si="2"/>
        <v>-20</v>
      </c>
      <c r="L10" s="160">
        <f t="shared" si="3"/>
        <v>-23</v>
      </c>
      <c r="M10" s="137">
        <v>1747</v>
      </c>
      <c r="N10" s="93">
        <v>860</v>
      </c>
      <c r="O10" s="93">
        <v>1097</v>
      </c>
      <c r="P10" s="96">
        <v>1510</v>
      </c>
      <c r="Q10" s="97">
        <f t="shared" si="4"/>
        <v>1510</v>
      </c>
      <c r="R10" s="156">
        <f t="shared" si="6"/>
        <v>-237</v>
      </c>
      <c r="S10" s="83"/>
      <c r="T10" s="90">
        <f>RANK(L10,$L$3:$L$27,1)+COUNTIF($L$3:L10,L10)-1</f>
        <v>16</v>
      </c>
      <c r="U10" s="172">
        <f>RANK(R10,$R$3:$R$27,1)+COUNTIF($R$3:R10,R10)-1</f>
        <v>8</v>
      </c>
      <c r="V10" s="179" t="str">
        <f>INDEX(B3:L27,MATCH(8,T3:T27,0),1)</f>
        <v>Tarnobrzeg</v>
      </c>
      <c r="W10" s="96">
        <f>INDEX(B3:L27,MATCH(8,T3:T27,0),11)</f>
        <v>-131</v>
      </c>
      <c r="X10" s="179" t="str">
        <f>INDEX(B3:R27,MATCH(8,U3:U27,0),1)</f>
        <v>leski</v>
      </c>
      <c r="Y10" s="96">
        <f>INDEX(B3:R27,MATCH(8,U3:U27,0),17)</f>
        <v>-237</v>
      </c>
      <c r="Z10" s="185">
        <v>8</v>
      </c>
      <c r="AA10" s="189">
        <f t="shared" si="5"/>
        <v>8</v>
      </c>
    </row>
    <row r="11" spans="2:27" x14ac:dyDescent="0.2">
      <c r="B11" s="107" t="s">
        <v>8</v>
      </c>
      <c r="C11" s="93">
        <v>1000</v>
      </c>
      <c r="D11" s="108">
        <v>927</v>
      </c>
      <c r="E11" s="152">
        <f t="shared" si="0"/>
        <v>-73</v>
      </c>
      <c r="F11" s="97">
        <v>316</v>
      </c>
      <c r="G11" s="93">
        <v>319</v>
      </c>
      <c r="H11" s="96">
        <f t="shared" si="1"/>
        <v>3</v>
      </c>
      <c r="I11" s="97">
        <v>401</v>
      </c>
      <c r="J11" s="93">
        <v>385</v>
      </c>
      <c r="K11" s="156">
        <f t="shared" si="2"/>
        <v>-16</v>
      </c>
      <c r="L11" s="160">
        <f t="shared" si="3"/>
        <v>-86</v>
      </c>
      <c r="M11" s="137">
        <v>3198</v>
      </c>
      <c r="N11" s="93">
        <v>2419</v>
      </c>
      <c r="O11" s="93">
        <v>2684</v>
      </c>
      <c r="P11" s="96">
        <v>2933</v>
      </c>
      <c r="Q11" s="97">
        <f t="shared" si="4"/>
        <v>2933</v>
      </c>
      <c r="R11" s="156">
        <f t="shared" si="6"/>
        <v>-265</v>
      </c>
      <c r="S11" s="83"/>
      <c r="T11" s="90">
        <f>RANK(L11,$L$3:$L$27,1)+COUNTIF($L$3:L11,L11)-1</f>
        <v>14</v>
      </c>
      <c r="U11" s="172">
        <f>RANK(R11,$R$3:$R$27,1)+COUNTIF($R$3:R11,R11)-1</f>
        <v>6</v>
      </c>
      <c r="V11" s="179" t="str">
        <f>INDEX(B3:L27,MATCH(9,T3:T27,0),1)</f>
        <v>Przemyśl</v>
      </c>
      <c r="W11" s="96">
        <f>INDEX(B3:L27,MATCH(9,T3:T27,0),11)</f>
        <v>-130</v>
      </c>
      <c r="X11" s="179" t="str">
        <f>INDEX(B3:R27,MATCH(9,U3:U27,0),1)</f>
        <v>jasielski</v>
      </c>
      <c r="Y11" s="96">
        <f>INDEX(B3:R27,MATCH(9,U3:U27,0),17)</f>
        <v>-217</v>
      </c>
      <c r="Z11" s="185">
        <v>9</v>
      </c>
      <c r="AA11" s="189">
        <f t="shared" si="5"/>
        <v>8</v>
      </c>
    </row>
    <row r="12" spans="2:27" x14ac:dyDescent="0.2">
      <c r="B12" s="107" t="s">
        <v>9</v>
      </c>
      <c r="C12" s="93">
        <v>735</v>
      </c>
      <c r="D12" s="108">
        <v>711</v>
      </c>
      <c r="E12" s="152">
        <f t="shared" si="0"/>
        <v>-24</v>
      </c>
      <c r="F12" s="97">
        <v>223</v>
      </c>
      <c r="G12" s="93">
        <v>193</v>
      </c>
      <c r="H12" s="156">
        <f t="shared" si="1"/>
        <v>-30</v>
      </c>
      <c r="I12" s="97">
        <v>227</v>
      </c>
      <c r="J12" s="93">
        <v>233</v>
      </c>
      <c r="K12" s="96">
        <f t="shared" si="2"/>
        <v>6</v>
      </c>
      <c r="L12" s="160">
        <f t="shared" si="3"/>
        <v>-48</v>
      </c>
      <c r="M12" s="137">
        <v>1831</v>
      </c>
      <c r="N12" s="93">
        <v>1407</v>
      </c>
      <c r="O12" s="93">
        <v>1622</v>
      </c>
      <c r="P12" s="96">
        <v>1616</v>
      </c>
      <c r="Q12" s="97">
        <f t="shared" si="4"/>
        <v>1616</v>
      </c>
      <c r="R12" s="156">
        <f t="shared" si="6"/>
        <v>-215</v>
      </c>
      <c r="S12" s="83"/>
      <c r="T12" s="90">
        <f>RANK(L12,$L$3:$L$27,1)+COUNTIF($L$3:L12,L12)-1</f>
        <v>15</v>
      </c>
      <c r="U12" s="172">
        <f>RANK(R12,$R$3:$R$27,1)+COUNTIF($R$3:R12,R12)-1</f>
        <v>10</v>
      </c>
      <c r="V12" s="179" t="str">
        <f>INDEX(B3:L27,MATCH(10,T3:T27,0),1)</f>
        <v>przemyski</v>
      </c>
      <c r="W12" s="96">
        <f>INDEX(B3:L27,MATCH(10,T3:T27,0),11)</f>
        <v>-125</v>
      </c>
      <c r="X12" s="179" t="str">
        <f>INDEX(B3:R27,MATCH(10,U3:U27,0),1)</f>
        <v>lubaczowski</v>
      </c>
      <c r="Y12" s="96">
        <f>INDEX(B3:R27,MATCH(10,U3:U27,0),17)</f>
        <v>-215</v>
      </c>
      <c r="Z12" s="185">
        <v>10</v>
      </c>
      <c r="AA12" s="189">
        <f t="shared" si="5"/>
        <v>5</v>
      </c>
    </row>
    <row r="13" spans="2:27" x14ac:dyDescent="0.2">
      <c r="B13" s="107" t="s">
        <v>10</v>
      </c>
      <c r="C13" s="93">
        <v>1249</v>
      </c>
      <c r="D13" s="108">
        <v>1067</v>
      </c>
      <c r="E13" s="152">
        <f t="shared" si="0"/>
        <v>-182</v>
      </c>
      <c r="F13" s="97">
        <v>325</v>
      </c>
      <c r="G13" s="93">
        <v>352</v>
      </c>
      <c r="H13" s="96">
        <f t="shared" si="1"/>
        <v>27</v>
      </c>
      <c r="I13" s="97">
        <v>199</v>
      </c>
      <c r="J13" s="93">
        <v>164</v>
      </c>
      <c r="K13" s="156">
        <f t="shared" si="2"/>
        <v>-35</v>
      </c>
      <c r="L13" s="160">
        <f t="shared" si="3"/>
        <v>-190</v>
      </c>
      <c r="M13" s="137">
        <v>2629</v>
      </c>
      <c r="N13" s="93">
        <v>2336</v>
      </c>
      <c r="O13" s="93">
        <v>2446</v>
      </c>
      <c r="P13" s="96">
        <v>2519</v>
      </c>
      <c r="Q13" s="97">
        <f t="shared" si="4"/>
        <v>2519</v>
      </c>
      <c r="R13" s="156">
        <f t="shared" si="6"/>
        <v>-110</v>
      </c>
      <c r="S13" s="83"/>
      <c r="T13" s="90">
        <f>RANK(L13,$L$3:$L$27,1)+COUNTIF($L$3:L13,L13)-1</f>
        <v>4</v>
      </c>
      <c r="U13" s="172">
        <f>RANK(R13,$R$3:$R$27,1)+COUNTIF($R$3:R13,R13)-1</f>
        <v>15</v>
      </c>
      <c r="V13" s="179" t="str">
        <f>INDEX(B3:L27,MATCH(11,T3:T27,0),1)</f>
        <v>dębicki</v>
      </c>
      <c r="W13" s="96">
        <f>INDEX(B3:L27,MATCH(11,T3:T27,0),11)</f>
        <v>-114</v>
      </c>
      <c r="X13" s="179" t="str">
        <f>INDEX(B3:R27,MATCH(11,U3:U27,0),1)</f>
        <v>ropczycko-sędziszowski</v>
      </c>
      <c r="Y13" s="96">
        <f>INDEX(B3:R27,MATCH(11,U3:U27,0),17)</f>
        <v>-200</v>
      </c>
      <c r="Z13" s="185">
        <v>11</v>
      </c>
      <c r="AA13" s="189">
        <f t="shared" si="5"/>
        <v>-11</v>
      </c>
    </row>
    <row r="14" spans="2:27" x14ac:dyDescent="0.2">
      <c r="B14" s="107" t="s">
        <v>11</v>
      </c>
      <c r="C14" s="93">
        <v>1557</v>
      </c>
      <c r="D14" s="108">
        <v>1470</v>
      </c>
      <c r="E14" s="152">
        <f t="shared" si="0"/>
        <v>-87</v>
      </c>
      <c r="F14" s="97">
        <v>407</v>
      </c>
      <c r="G14" s="93">
        <v>348</v>
      </c>
      <c r="H14" s="156">
        <f t="shared" si="1"/>
        <v>-59</v>
      </c>
      <c r="I14" s="97">
        <v>457</v>
      </c>
      <c r="J14" s="93">
        <v>288</v>
      </c>
      <c r="K14" s="156">
        <f t="shared" si="2"/>
        <v>-169</v>
      </c>
      <c r="L14" s="160">
        <f t="shared" si="3"/>
        <v>-315</v>
      </c>
      <c r="M14" s="137">
        <v>2517</v>
      </c>
      <c r="N14" s="93">
        <v>3168</v>
      </c>
      <c r="O14" s="93">
        <v>2848</v>
      </c>
      <c r="P14" s="96">
        <v>2837</v>
      </c>
      <c r="Q14" s="97">
        <f t="shared" si="4"/>
        <v>2837</v>
      </c>
      <c r="R14" s="96">
        <f t="shared" si="6"/>
        <v>320</v>
      </c>
      <c r="S14" s="83"/>
      <c r="T14" s="90">
        <f>RANK(L14,$L$3:$L$27,1)+COUNTIF($L$3:L14,L14)-1</f>
        <v>2</v>
      </c>
      <c r="U14" s="173">
        <f>RANK(R14,$R$3:$R$27,1)+COUNTIF($R$3:R14,R14)-1</f>
        <v>25</v>
      </c>
      <c r="V14" s="179" t="str">
        <f>INDEX(B3:L27,MATCH(12,T3:T27,0),1)</f>
        <v>niżański</v>
      </c>
      <c r="W14" s="96">
        <f>INDEX(B3:L27,MATCH(12,T3:T27,0),11)</f>
        <v>-101</v>
      </c>
      <c r="X14" s="179" t="str">
        <f>INDEX(B3:R27,MATCH(12,U3:U27,0),1)</f>
        <v>Rzeszów</v>
      </c>
      <c r="Y14" s="96">
        <f>INDEX(B3:R27,MATCH(12,U3:U27,0),17)</f>
        <v>-148</v>
      </c>
      <c r="Z14" s="185">
        <v>12</v>
      </c>
      <c r="AA14" s="189">
        <f t="shared" si="5"/>
        <v>-23</v>
      </c>
    </row>
    <row r="15" spans="2:27" x14ac:dyDescent="0.2">
      <c r="B15" s="107" t="s">
        <v>12</v>
      </c>
      <c r="C15" s="93">
        <v>810</v>
      </c>
      <c r="D15" s="108">
        <v>788</v>
      </c>
      <c r="E15" s="152">
        <f t="shared" si="0"/>
        <v>-22</v>
      </c>
      <c r="F15" s="97">
        <v>384</v>
      </c>
      <c r="G15" s="93">
        <v>341</v>
      </c>
      <c r="H15" s="156">
        <f t="shared" si="1"/>
        <v>-43</v>
      </c>
      <c r="I15" s="97">
        <v>275</v>
      </c>
      <c r="J15" s="93">
        <v>239</v>
      </c>
      <c r="K15" s="156">
        <f t="shared" si="2"/>
        <v>-36</v>
      </c>
      <c r="L15" s="160">
        <f t="shared" si="3"/>
        <v>-101</v>
      </c>
      <c r="M15" s="137">
        <v>3116</v>
      </c>
      <c r="N15" s="93">
        <v>2120</v>
      </c>
      <c r="O15" s="93">
        <v>2204</v>
      </c>
      <c r="P15" s="96">
        <v>3032</v>
      </c>
      <c r="Q15" s="97">
        <f t="shared" si="4"/>
        <v>3032</v>
      </c>
      <c r="R15" s="156">
        <f t="shared" si="6"/>
        <v>-84</v>
      </c>
      <c r="S15" s="83"/>
      <c r="T15" s="90">
        <f>RANK(L15,$L$3:$L$27,1)+COUNTIF($L$3:L15,L15)-1</f>
        <v>12</v>
      </c>
      <c r="U15" s="173">
        <f>RANK(R15,$R$3:$R$27,1)+COUNTIF($R$3:R15,R15)-1</f>
        <v>16</v>
      </c>
      <c r="V15" s="179" t="str">
        <f>INDEX(B3:L27,MATCH(13,T3:T27,0),1)</f>
        <v>tarnobrzeski</v>
      </c>
      <c r="W15" s="96">
        <f>INDEX(B3:L27,MATCH(13,T3:T27,0),11)</f>
        <v>-89</v>
      </c>
      <c r="X15" s="179" t="str">
        <f>INDEX(B3:R27,MATCH(13,U3:U27,0),1)</f>
        <v>bieszczadzki</v>
      </c>
      <c r="Y15" s="96">
        <f>INDEX(B3:R27,MATCH(13,U3:U27,0),17)</f>
        <v>-115</v>
      </c>
      <c r="Z15" s="185">
        <v>13</v>
      </c>
      <c r="AA15" s="189">
        <f t="shared" si="5"/>
        <v>-4</v>
      </c>
    </row>
    <row r="16" spans="2:27" x14ac:dyDescent="0.2">
      <c r="B16" s="107" t="s">
        <v>13</v>
      </c>
      <c r="C16" s="93">
        <v>875</v>
      </c>
      <c r="D16" s="108">
        <v>832</v>
      </c>
      <c r="E16" s="152">
        <f t="shared" si="0"/>
        <v>-43</v>
      </c>
      <c r="F16" s="97">
        <v>359</v>
      </c>
      <c r="G16" s="93">
        <v>289</v>
      </c>
      <c r="H16" s="156">
        <f t="shared" si="1"/>
        <v>-70</v>
      </c>
      <c r="I16" s="97">
        <v>85</v>
      </c>
      <c r="J16" s="93">
        <v>73</v>
      </c>
      <c r="K16" s="156">
        <f t="shared" si="2"/>
        <v>-12</v>
      </c>
      <c r="L16" s="160">
        <f t="shared" si="3"/>
        <v>-125</v>
      </c>
      <c r="M16" s="137">
        <v>3084</v>
      </c>
      <c r="N16" s="93">
        <v>1796</v>
      </c>
      <c r="O16" s="93">
        <v>2140</v>
      </c>
      <c r="P16" s="96">
        <v>2740</v>
      </c>
      <c r="Q16" s="97">
        <f t="shared" si="4"/>
        <v>2740</v>
      </c>
      <c r="R16" s="156">
        <f t="shared" si="6"/>
        <v>-344</v>
      </c>
      <c r="S16" s="83"/>
      <c r="T16" s="90">
        <f>RANK(L16,$L$3:$L$27,1)+COUNTIF($L$3:L16,L16)-1</f>
        <v>10</v>
      </c>
      <c r="U16" s="173">
        <f>RANK(R16,$R$3:$R$27,1)+COUNTIF($R$3:R16,R16)-1</f>
        <v>4</v>
      </c>
      <c r="V16" s="179" t="str">
        <f>INDEX(B3:L27,MATCH(14,T3:T27,0),1)</f>
        <v>leżajski</v>
      </c>
      <c r="W16" s="96">
        <f>INDEX(B3:L27,MATCH(14,T3:T27,0),11)</f>
        <v>-86</v>
      </c>
      <c r="X16" s="179" t="str">
        <f>INDEX(B3:R27,MATCH(14,U3:U27,0),1)</f>
        <v>Przemyśl</v>
      </c>
      <c r="Y16" s="96">
        <f>INDEX(B3:R27,MATCH(14,U3:U27,0),17)</f>
        <v>-113</v>
      </c>
      <c r="Z16" s="185">
        <v>14</v>
      </c>
      <c r="AA16" s="189">
        <f t="shared" si="5"/>
        <v>6</v>
      </c>
    </row>
    <row r="17" spans="2:27" x14ac:dyDescent="0.2">
      <c r="B17" s="107" t="s">
        <v>14</v>
      </c>
      <c r="C17" s="93">
        <v>1222</v>
      </c>
      <c r="D17" s="108">
        <v>1251</v>
      </c>
      <c r="E17" s="128">
        <f t="shared" si="0"/>
        <v>29</v>
      </c>
      <c r="F17" s="97">
        <v>475</v>
      </c>
      <c r="G17" s="93">
        <v>537</v>
      </c>
      <c r="H17" s="96">
        <f t="shared" si="1"/>
        <v>62</v>
      </c>
      <c r="I17" s="97">
        <v>379</v>
      </c>
      <c r="J17" s="93">
        <v>331</v>
      </c>
      <c r="K17" s="156">
        <f t="shared" si="2"/>
        <v>-48</v>
      </c>
      <c r="L17" s="144">
        <f t="shared" si="3"/>
        <v>43</v>
      </c>
      <c r="M17" s="137">
        <v>3654</v>
      </c>
      <c r="N17" s="93">
        <v>2663</v>
      </c>
      <c r="O17" s="93">
        <v>3049</v>
      </c>
      <c r="P17" s="96">
        <v>3268</v>
      </c>
      <c r="Q17" s="97">
        <f t="shared" si="4"/>
        <v>3268</v>
      </c>
      <c r="R17" s="156">
        <f t="shared" si="6"/>
        <v>-386</v>
      </c>
      <c r="S17" s="83"/>
      <c r="T17" s="90">
        <f>RANK(L17,$L$3:$L$27,1)+COUNTIF($L$3:L17,L17)-1</f>
        <v>24</v>
      </c>
      <c r="U17" s="173">
        <f>RANK(R17,$R$3:$R$27,1)+COUNTIF($R$3:R17,R17)-1</f>
        <v>3</v>
      </c>
      <c r="V17" s="179" t="str">
        <f>INDEX(B3:L27,MATCH(15,T3:T27,0),1)</f>
        <v>lubaczowski</v>
      </c>
      <c r="W17" s="96">
        <f>INDEX(B3:L27,MATCH(15,T3:T27,0),11)</f>
        <v>-48</v>
      </c>
      <c r="X17" s="179" t="str">
        <f>INDEX(B3:R27,MATCH(15,U3:U27,0),1)</f>
        <v>łańcucki</v>
      </c>
      <c r="Y17" s="96">
        <f>INDEX(B3:R27,MATCH(15,U3:U27,0),17)</f>
        <v>-110</v>
      </c>
      <c r="Z17" s="185">
        <v>15</v>
      </c>
      <c r="AA17" s="189">
        <f t="shared" si="5"/>
        <v>21</v>
      </c>
    </row>
    <row r="18" spans="2:27" ht="12" customHeight="1" x14ac:dyDescent="0.2">
      <c r="B18" s="107" t="s">
        <v>15</v>
      </c>
      <c r="C18" s="93">
        <v>1154</v>
      </c>
      <c r="D18" s="108">
        <v>1066</v>
      </c>
      <c r="E18" s="152">
        <f t="shared" si="0"/>
        <v>-88</v>
      </c>
      <c r="F18" s="97">
        <v>296</v>
      </c>
      <c r="G18" s="93">
        <v>282</v>
      </c>
      <c r="H18" s="156">
        <f t="shared" si="1"/>
        <v>-14</v>
      </c>
      <c r="I18" s="97">
        <v>202</v>
      </c>
      <c r="J18" s="93">
        <v>166</v>
      </c>
      <c r="K18" s="156">
        <f t="shared" si="2"/>
        <v>-36</v>
      </c>
      <c r="L18" s="160">
        <f t="shared" si="3"/>
        <v>-138</v>
      </c>
      <c r="M18" s="137">
        <v>2769</v>
      </c>
      <c r="N18" s="93">
        <v>2195</v>
      </c>
      <c r="O18" s="93">
        <v>2395</v>
      </c>
      <c r="P18" s="96">
        <v>2569</v>
      </c>
      <c r="Q18" s="97">
        <f t="shared" si="4"/>
        <v>2569</v>
      </c>
      <c r="R18" s="156">
        <f t="shared" si="6"/>
        <v>-200</v>
      </c>
      <c r="S18" s="83"/>
      <c r="T18" s="90">
        <f>RANK(L18,$L$3:$L$27,1)+COUNTIF($L$3:L18,L18)-1</f>
        <v>7</v>
      </c>
      <c r="U18" s="173">
        <f>RANK(R18,$R$3:$R$27,1)+COUNTIF($R$3:R18,R18)-1</f>
        <v>11</v>
      </c>
      <c r="V18" s="179" t="str">
        <f>INDEX(B3:L27,MATCH(16,T3:T27,0),1)</f>
        <v>leski</v>
      </c>
      <c r="W18" s="96">
        <f>INDEX(B3:L27,MATCH(16,T3:T27,0),11)</f>
        <v>-23</v>
      </c>
      <c r="X18" s="179" t="str">
        <f>INDEX(B3:R27,MATCH(16,U3:U27,0),1)</f>
        <v>niżański</v>
      </c>
      <c r="Y18" s="96">
        <f>INDEX(B3:R27,MATCH(16,U3:U27,0),17)</f>
        <v>-84</v>
      </c>
      <c r="Z18" s="185">
        <v>16</v>
      </c>
      <c r="AA18" s="189">
        <f t="shared" si="5"/>
        <v>-4</v>
      </c>
    </row>
    <row r="19" spans="2:27" x14ac:dyDescent="0.2">
      <c r="B19" s="107" t="s">
        <v>16</v>
      </c>
      <c r="C19" s="93">
        <v>1999</v>
      </c>
      <c r="D19" s="108">
        <v>1775</v>
      </c>
      <c r="E19" s="152">
        <f t="shared" si="0"/>
        <v>-224</v>
      </c>
      <c r="F19" s="97">
        <v>340</v>
      </c>
      <c r="G19" s="93">
        <v>300</v>
      </c>
      <c r="H19" s="156">
        <f t="shared" si="1"/>
        <v>-40</v>
      </c>
      <c r="I19" s="97">
        <v>222</v>
      </c>
      <c r="J19" s="93">
        <v>160</v>
      </c>
      <c r="K19" s="156">
        <f t="shared" si="2"/>
        <v>-62</v>
      </c>
      <c r="L19" s="160">
        <f t="shared" si="3"/>
        <v>-326</v>
      </c>
      <c r="M19" s="137">
        <v>4962</v>
      </c>
      <c r="N19" s="93">
        <v>2998</v>
      </c>
      <c r="O19" s="93">
        <v>3342</v>
      </c>
      <c r="P19" s="96">
        <v>4618</v>
      </c>
      <c r="Q19" s="97">
        <f t="shared" si="4"/>
        <v>4618</v>
      </c>
      <c r="R19" s="156">
        <f t="shared" si="6"/>
        <v>-344</v>
      </c>
      <c r="S19" s="83"/>
      <c r="T19" s="90">
        <f>RANK(L19,$L$3:$L$27,1)+COUNTIF($L$3:L19,L19)-1</f>
        <v>1</v>
      </c>
      <c r="U19" s="173">
        <f>RANK(R19,$R$3:$R$27,1)+COUNTIF($R$3:R19,R19)-1</f>
        <v>5</v>
      </c>
      <c r="V19" s="179" t="str">
        <f>INDEX(B3:L27,MATCH(17,T3:T27,0),1)</f>
        <v>kolbuszowski</v>
      </c>
      <c r="W19" s="96">
        <f>INDEX(B3:L27,MATCH(17,T3:T27,0),11)</f>
        <v>-7</v>
      </c>
      <c r="X19" s="179" t="str">
        <f>INDEX(B3:R27,MATCH(17,U3:U27,0),1)</f>
        <v>tarnobrzeski</v>
      </c>
      <c r="Y19" s="96">
        <f>INDEX(B3:R27,MATCH(17,U3:U27,0),17)</f>
        <v>-51</v>
      </c>
      <c r="Z19" s="185">
        <v>17</v>
      </c>
      <c r="AA19" s="189">
        <f t="shared" si="5"/>
        <v>-4</v>
      </c>
    </row>
    <row r="20" spans="2:27" x14ac:dyDescent="0.2">
      <c r="B20" s="107" t="s">
        <v>17</v>
      </c>
      <c r="C20" s="93">
        <v>921</v>
      </c>
      <c r="D20" s="108">
        <v>992</v>
      </c>
      <c r="E20" s="128">
        <f t="shared" si="0"/>
        <v>71</v>
      </c>
      <c r="F20" s="97">
        <v>311</v>
      </c>
      <c r="G20" s="93">
        <v>275</v>
      </c>
      <c r="H20" s="156">
        <f t="shared" si="1"/>
        <v>-36</v>
      </c>
      <c r="I20" s="97">
        <v>119</v>
      </c>
      <c r="J20" s="93">
        <v>100</v>
      </c>
      <c r="K20" s="156">
        <f t="shared" si="2"/>
        <v>-19</v>
      </c>
      <c r="L20" s="144">
        <f t="shared" si="3"/>
        <v>16</v>
      </c>
      <c r="M20" s="137">
        <v>2644</v>
      </c>
      <c r="N20" s="93">
        <v>2061</v>
      </c>
      <c r="O20" s="93">
        <v>2048</v>
      </c>
      <c r="P20" s="96">
        <v>2657</v>
      </c>
      <c r="Q20" s="97">
        <f t="shared" si="4"/>
        <v>2657</v>
      </c>
      <c r="R20" s="96">
        <f t="shared" si="6"/>
        <v>13</v>
      </c>
      <c r="S20" s="83"/>
      <c r="T20" s="90">
        <f>RANK(L20,$L$3:$L$27,1)+COUNTIF($L$3:L20,L20)-1</f>
        <v>21</v>
      </c>
      <c r="U20" s="173">
        <f>RANK(R20,$R$3:$R$27,1)+COUNTIF($R$3:R20,R20)-1</f>
        <v>22</v>
      </c>
      <c r="V20" s="179" t="str">
        <f>INDEX(B3:L27,MATCH(18,T3:T27,0),1)</f>
        <v>brzozowski</v>
      </c>
      <c r="W20" s="96">
        <f>INDEX(B3:L27,MATCH(18,T3:T27,0),11)</f>
        <v>-1</v>
      </c>
      <c r="X20" s="179" t="str">
        <f>INDEX(B3:R27,MATCH(18,U3:U27,0),1)</f>
        <v>dębicki</v>
      </c>
      <c r="Y20" s="96">
        <f>INDEX(B3:R27,MATCH(18,U3:U27,0),17)</f>
        <v>-49</v>
      </c>
      <c r="Z20" s="185">
        <v>18</v>
      </c>
      <c r="AA20" s="191">
        <f t="shared" si="5"/>
        <v>-1</v>
      </c>
    </row>
    <row r="21" spans="2:27" x14ac:dyDescent="0.2">
      <c r="B21" s="107" t="s">
        <v>18</v>
      </c>
      <c r="C21" s="93">
        <v>1048</v>
      </c>
      <c r="D21" s="108">
        <v>1019</v>
      </c>
      <c r="E21" s="152">
        <f t="shared" si="0"/>
        <v>-29</v>
      </c>
      <c r="F21" s="97">
        <v>266</v>
      </c>
      <c r="G21" s="93">
        <v>172</v>
      </c>
      <c r="H21" s="156">
        <f t="shared" si="1"/>
        <v>-94</v>
      </c>
      <c r="I21" s="97">
        <v>201</v>
      </c>
      <c r="J21" s="93">
        <v>144</v>
      </c>
      <c r="K21" s="156">
        <f t="shared" si="2"/>
        <v>-57</v>
      </c>
      <c r="L21" s="160">
        <f t="shared" si="3"/>
        <v>-180</v>
      </c>
      <c r="M21" s="137">
        <v>1841</v>
      </c>
      <c r="N21" s="93">
        <v>2186</v>
      </c>
      <c r="O21" s="93">
        <v>2136</v>
      </c>
      <c r="P21" s="96">
        <v>1891</v>
      </c>
      <c r="Q21" s="97">
        <f t="shared" si="4"/>
        <v>1891</v>
      </c>
      <c r="R21" s="96">
        <f t="shared" si="6"/>
        <v>50</v>
      </c>
      <c r="S21" s="83"/>
      <c r="T21" s="90">
        <f>RANK(L21,$L$3:$L$27,1)+COUNTIF($L$3:L21,L21)-1</f>
        <v>5</v>
      </c>
      <c r="U21" s="173">
        <f>RANK(R21,$R$3:$R$27,1)+COUNTIF($R$3:R21,R21)-1</f>
        <v>23</v>
      </c>
      <c r="V21" s="179" t="str">
        <f>INDEX(B3:L27,MATCH(19,T3:T27,0),1)</f>
        <v>jasielski</v>
      </c>
      <c r="W21" s="96">
        <f>INDEX(B3:L27,MATCH(19,T3:T27,0),11)</f>
        <v>3</v>
      </c>
      <c r="X21" s="179" t="str">
        <f>INDEX(B3:R27,MATCH(19,U3:U27,0),1)</f>
        <v>kolbuszowski</v>
      </c>
      <c r="Y21" s="96">
        <f>INDEX(B3:R27,MATCH(19,U3:U27,0),17)</f>
        <v>-49</v>
      </c>
      <c r="Z21" s="185">
        <v>19</v>
      </c>
      <c r="AA21" s="189">
        <f t="shared" si="5"/>
        <v>-18</v>
      </c>
    </row>
    <row r="22" spans="2:27" x14ac:dyDescent="0.2">
      <c r="B22" s="107" t="s">
        <v>19</v>
      </c>
      <c r="C22" s="93">
        <v>1093</v>
      </c>
      <c r="D22" s="108">
        <v>1126</v>
      </c>
      <c r="E22" s="128">
        <f t="shared" si="0"/>
        <v>33</v>
      </c>
      <c r="F22" s="97">
        <v>299</v>
      </c>
      <c r="G22" s="93">
        <v>315</v>
      </c>
      <c r="H22" s="96">
        <f t="shared" si="1"/>
        <v>16</v>
      </c>
      <c r="I22" s="97">
        <v>430</v>
      </c>
      <c r="J22" s="93">
        <v>386</v>
      </c>
      <c r="K22" s="156">
        <f t="shared" si="2"/>
        <v>-44</v>
      </c>
      <c r="L22" s="144">
        <f t="shared" si="3"/>
        <v>5</v>
      </c>
      <c r="M22" s="137">
        <v>3266</v>
      </c>
      <c r="N22" s="93">
        <v>2224</v>
      </c>
      <c r="O22" s="93">
        <v>2483</v>
      </c>
      <c r="P22" s="96">
        <v>3007</v>
      </c>
      <c r="Q22" s="97">
        <f t="shared" si="4"/>
        <v>3007</v>
      </c>
      <c r="R22" s="156">
        <f t="shared" si="6"/>
        <v>-259</v>
      </c>
      <c r="S22" s="83"/>
      <c r="T22" s="90">
        <f>RANK(L22,$L$3:$L$27,1)+COUNTIF($L$3:L22,L22)-1</f>
        <v>20</v>
      </c>
      <c r="U22" s="173">
        <f>RANK(R22,$R$3:$R$27,1)+COUNTIF($R$3:R22,R22)-1</f>
        <v>7</v>
      </c>
      <c r="V22" s="179" t="str">
        <f>INDEX(B3:L27,MATCH(20,T3:T27,0),1)</f>
        <v>strzyżowski</v>
      </c>
      <c r="W22" s="96">
        <f>INDEX(B3:L27,MATCH(20,T3:T27,0),11)</f>
        <v>5</v>
      </c>
      <c r="X22" s="179" t="str">
        <f>INDEX(B3:R27,MATCH(20,U3:U27,0),1)</f>
        <v>Krosno</v>
      </c>
      <c r="Y22" s="96">
        <f>INDEX(B3:R27,MATCH(20,U3:U27,0),17)</f>
        <v>-4</v>
      </c>
      <c r="Z22" s="185">
        <v>20</v>
      </c>
      <c r="AA22" s="189">
        <f t="shared" si="5"/>
        <v>13</v>
      </c>
    </row>
    <row r="23" spans="2:27" ht="12" thickBot="1" x14ac:dyDescent="0.25">
      <c r="B23" s="109" t="s">
        <v>115</v>
      </c>
      <c r="C23" s="98">
        <v>674</v>
      </c>
      <c r="D23" s="110">
        <v>589</v>
      </c>
      <c r="E23" s="153">
        <f t="shared" si="0"/>
        <v>-85</v>
      </c>
      <c r="F23" s="122">
        <v>230</v>
      </c>
      <c r="G23" s="98">
        <v>227</v>
      </c>
      <c r="H23" s="158">
        <f t="shared" si="1"/>
        <v>-3</v>
      </c>
      <c r="I23" s="122">
        <v>120</v>
      </c>
      <c r="J23" s="98">
        <v>119</v>
      </c>
      <c r="K23" s="158">
        <f t="shared" si="2"/>
        <v>-1</v>
      </c>
      <c r="L23" s="159">
        <f t="shared" si="3"/>
        <v>-89</v>
      </c>
      <c r="M23" s="138">
        <v>1284</v>
      </c>
      <c r="N23" s="98">
        <v>1246</v>
      </c>
      <c r="O23" s="98">
        <v>1297</v>
      </c>
      <c r="P23" s="100">
        <v>1233</v>
      </c>
      <c r="Q23" s="101">
        <f t="shared" si="4"/>
        <v>1233</v>
      </c>
      <c r="R23" s="163">
        <f t="shared" si="6"/>
        <v>-51</v>
      </c>
      <c r="S23" s="83"/>
      <c r="T23" s="165">
        <f>RANK(L23,$L$3:$L$27,1)+COUNTIF($L$3:L23,L23)-1</f>
        <v>13</v>
      </c>
      <c r="U23" s="174">
        <f>RANK(R23,$R$3:$R$27,1)+COUNTIF($R$3:R23,R23)-1</f>
        <v>17</v>
      </c>
      <c r="V23" s="180" t="str">
        <f>INDEX(B3:L27,MATCH(21,T3:T27,0),1)</f>
        <v>sanocki</v>
      </c>
      <c r="W23" s="102">
        <f>INDEX(B3:L27,MATCH(21,T3:T27,0),11)</f>
        <v>16</v>
      </c>
      <c r="X23" s="180" t="str">
        <f>INDEX(B3:R27,MATCH(21,U3:U27,0),1)</f>
        <v>Tarnobrzeg</v>
      </c>
      <c r="Y23" s="102">
        <f>INDEX(B3:R27,MATCH(21,U3:U27,0),17)</f>
        <v>10</v>
      </c>
      <c r="Z23" s="186">
        <v>21</v>
      </c>
      <c r="AA23" s="189">
        <f t="shared" si="5"/>
        <v>-4</v>
      </c>
    </row>
    <row r="24" spans="2:27" x14ac:dyDescent="0.2">
      <c r="B24" s="92" t="s">
        <v>21</v>
      </c>
      <c r="C24" s="93">
        <v>308</v>
      </c>
      <c r="D24" s="94">
        <v>339</v>
      </c>
      <c r="E24" s="129">
        <f t="shared" si="0"/>
        <v>31</v>
      </c>
      <c r="F24" s="97">
        <v>65</v>
      </c>
      <c r="G24" s="93">
        <v>91</v>
      </c>
      <c r="H24" s="96">
        <f t="shared" si="1"/>
        <v>26</v>
      </c>
      <c r="I24" s="97">
        <v>49</v>
      </c>
      <c r="J24" s="93">
        <v>29</v>
      </c>
      <c r="K24" s="156">
        <f t="shared" si="2"/>
        <v>-20</v>
      </c>
      <c r="L24" s="144">
        <f t="shared" si="3"/>
        <v>37</v>
      </c>
      <c r="M24" s="137">
        <v>720</v>
      </c>
      <c r="N24" s="93">
        <v>812</v>
      </c>
      <c r="O24" s="93">
        <v>816</v>
      </c>
      <c r="P24" s="96">
        <v>716</v>
      </c>
      <c r="Q24" s="85">
        <f t="shared" si="4"/>
        <v>716</v>
      </c>
      <c r="R24" s="157">
        <f t="shared" si="6"/>
        <v>-4</v>
      </c>
      <c r="S24" s="83"/>
      <c r="T24" s="164">
        <f>RANK(L24,$L$3:$L$27,1)+COUNTIF($L$3:L24,L24)-1</f>
        <v>22</v>
      </c>
      <c r="U24" s="192">
        <f>RANK(R24,$R$3:$R$27,1)+COUNTIF($R$3:R24,R24)-1</f>
        <v>20</v>
      </c>
      <c r="V24" s="181" t="str">
        <f>INDEX(B3:L27,MATCH(22,T3:T27,0),1)</f>
        <v>Krosno</v>
      </c>
      <c r="W24" s="89">
        <f>INDEX(B3:L27,MATCH(22,T3:T27,0),11)</f>
        <v>37</v>
      </c>
      <c r="X24" s="181" t="str">
        <f>INDEX(B3:R27,MATCH(22,U3:U27,0),1)</f>
        <v>sanocki</v>
      </c>
      <c r="Y24" s="89">
        <f>INDEX(B3:R27,MATCH(22,U3:U27,0),17)</f>
        <v>13</v>
      </c>
      <c r="Z24" s="184">
        <v>22</v>
      </c>
      <c r="AA24" s="191">
        <f t="shared" si="5"/>
        <v>2</v>
      </c>
    </row>
    <row r="25" spans="2:27" x14ac:dyDescent="0.2">
      <c r="B25" s="92" t="s">
        <v>22</v>
      </c>
      <c r="C25" s="93">
        <v>711</v>
      </c>
      <c r="D25" s="94">
        <v>596</v>
      </c>
      <c r="E25" s="154">
        <f t="shared" si="0"/>
        <v>-115</v>
      </c>
      <c r="F25" s="97">
        <v>212</v>
      </c>
      <c r="G25" s="93">
        <v>210</v>
      </c>
      <c r="H25" s="156">
        <f t="shared" si="1"/>
        <v>-2</v>
      </c>
      <c r="I25" s="97">
        <v>57</v>
      </c>
      <c r="J25" s="93">
        <v>44</v>
      </c>
      <c r="K25" s="156">
        <f t="shared" si="2"/>
        <v>-13</v>
      </c>
      <c r="L25" s="160">
        <f t="shared" si="3"/>
        <v>-130</v>
      </c>
      <c r="M25" s="137">
        <v>2487</v>
      </c>
      <c r="N25" s="93">
        <v>1425</v>
      </c>
      <c r="O25" s="93">
        <v>1538</v>
      </c>
      <c r="P25" s="96">
        <v>2374</v>
      </c>
      <c r="Q25" s="97">
        <f t="shared" si="4"/>
        <v>2374</v>
      </c>
      <c r="R25" s="156">
        <f t="shared" si="6"/>
        <v>-113</v>
      </c>
      <c r="S25" s="83"/>
      <c r="T25" s="90">
        <f>RANK(L25,$L$3:$L$27,1)+COUNTIF($L$3:L25,L25)-1</f>
        <v>9</v>
      </c>
      <c r="U25" s="173">
        <f>RANK(R25,$R$3:$R$27,1)+COUNTIF($R$3:R25,R25)-1</f>
        <v>14</v>
      </c>
      <c r="V25" s="179" t="str">
        <f>INDEX(B3:L27,MATCH(23,T3:T27,0),1)</f>
        <v>bieszczadzki</v>
      </c>
      <c r="W25" s="96">
        <f>INDEX(B3:L27,MATCH(23,T3:T27,0),11)</f>
        <v>42</v>
      </c>
      <c r="X25" s="179" t="str">
        <f>INDEX(B3:R27,MATCH(23,U3:U27,0),1)</f>
        <v>stalowowolski</v>
      </c>
      <c r="Y25" s="96">
        <f>INDEX(B3:R27,MATCH(23,U3:U27,0),17)</f>
        <v>50</v>
      </c>
      <c r="Z25" s="185">
        <v>23</v>
      </c>
      <c r="AA25" s="189">
        <f t="shared" si="5"/>
        <v>-5</v>
      </c>
    </row>
    <row r="26" spans="2:27" x14ac:dyDescent="0.2">
      <c r="B26" s="92" t="s">
        <v>23</v>
      </c>
      <c r="C26" s="93">
        <v>2181</v>
      </c>
      <c r="D26" s="94">
        <v>2007</v>
      </c>
      <c r="E26" s="154">
        <f t="shared" si="0"/>
        <v>-174</v>
      </c>
      <c r="F26" s="97">
        <v>368</v>
      </c>
      <c r="G26" s="93">
        <v>327</v>
      </c>
      <c r="H26" s="156">
        <f t="shared" si="1"/>
        <v>-41</v>
      </c>
      <c r="I26" s="97">
        <v>260</v>
      </c>
      <c r="J26" s="93">
        <v>200</v>
      </c>
      <c r="K26" s="156">
        <f t="shared" si="2"/>
        <v>-60</v>
      </c>
      <c r="L26" s="160">
        <f t="shared" si="3"/>
        <v>-275</v>
      </c>
      <c r="M26" s="137">
        <v>5452</v>
      </c>
      <c r="N26" s="93">
        <v>3653</v>
      </c>
      <c r="O26" s="93">
        <v>3801</v>
      </c>
      <c r="P26" s="96">
        <v>5304</v>
      </c>
      <c r="Q26" s="97">
        <f t="shared" si="4"/>
        <v>5304</v>
      </c>
      <c r="R26" s="156">
        <f t="shared" si="6"/>
        <v>-148</v>
      </c>
      <c r="S26" s="83"/>
      <c r="T26" s="90">
        <f>RANK(L26,$L$3:$L$27,1)+COUNTIF($L$3:L26,L26)-1</f>
        <v>3</v>
      </c>
      <c r="U26" s="173">
        <f>RANK(R26,$R$3:$R$27,1)+COUNTIF($R$3:R26,R26)-1</f>
        <v>12</v>
      </c>
      <c r="V26" s="179" t="str">
        <f>INDEX(B3:L27,MATCH(24,T3:T27,0),1)</f>
        <v>przeworski</v>
      </c>
      <c r="W26" s="96">
        <f>INDEX(B3:L27,MATCH(24,T3:T27,0),11)</f>
        <v>43</v>
      </c>
      <c r="X26" s="179" t="str">
        <f>INDEX(B3:R27,MATCH(24,U3:U27,0),1)</f>
        <v>krośnieński</v>
      </c>
      <c r="Y26" s="96">
        <f>INDEX(B3:R27,MATCH(24,U3:U27,0),17)</f>
        <v>77</v>
      </c>
      <c r="Z26" s="185">
        <v>24</v>
      </c>
      <c r="AA26" s="189">
        <f t="shared" si="5"/>
        <v>-9</v>
      </c>
    </row>
    <row r="27" spans="2:27" ht="12" thickBot="1" x14ac:dyDescent="0.25">
      <c r="B27" s="120" t="s">
        <v>24</v>
      </c>
      <c r="C27" s="98">
        <v>574</v>
      </c>
      <c r="D27" s="121">
        <v>476</v>
      </c>
      <c r="E27" s="155">
        <f t="shared" si="0"/>
        <v>-98</v>
      </c>
      <c r="F27" s="122">
        <v>167</v>
      </c>
      <c r="G27" s="98">
        <v>156</v>
      </c>
      <c r="H27" s="158">
        <f t="shared" si="1"/>
        <v>-11</v>
      </c>
      <c r="I27" s="122">
        <v>149</v>
      </c>
      <c r="J27" s="98">
        <v>127</v>
      </c>
      <c r="K27" s="158">
        <f t="shared" si="2"/>
        <v>-22</v>
      </c>
      <c r="L27" s="159">
        <f t="shared" si="3"/>
        <v>-131</v>
      </c>
      <c r="M27" s="138">
        <v>1065</v>
      </c>
      <c r="N27" s="98">
        <v>1089</v>
      </c>
      <c r="O27" s="98">
        <v>1079</v>
      </c>
      <c r="P27" s="100">
        <v>1075</v>
      </c>
      <c r="Q27" s="122">
        <f t="shared" si="4"/>
        <v>1075</v>
      </c>
      <c r="R27" s="100">
        <f t="shared" si="6"/>
        <v>10</v>
      </c>
      <c r="S27" s="83"/>
      <c r="T27" s="125">
        <f>RANK(L27,$L$3:$L$27,1)+COUNTIF($L$3:L27,L27)-1</f>
        <v>8</v>
      </c>
      <c r="U27" s="175">
        <f>RANK(R27,$R$3:$R$27,1)+COUNTIF($R$3:R27,R27)-1</f>
        <v>21</v>
      </c>
      <c r="V27" s="182" t="str">
        <f>INDEX(B3:L27,MATCH(25,T3:T27,0),1)</f>
        <v>krośnieński</v>
      </c>
      <c r="W27" s="100">
        <f>INDEX(B3:L27,MATCH(25,T3:T27,0),11)</f>
        <v>69</v>
      </c>
      <c r="X27" s="182" t="str">
        <f>INDEX(B3:R27,MATCH(25,U3:U27,0),1)</f>
        <v>mielecki</v>
      </c>
      <c r="Y27" s="100">
        <f>INDEX(B3:R27,MATCH(25,U3:U27,0),17)</f>
        <v>320</v>
      </c>
      <c r="Z27" s="187">
        <v>25</v>
      </c>
      <c r="AA27" s="189">
        <f t="shared" si="5"/>
        <v>-13</v>
      </c>
    </row>
    <row r="28" spans="2:27" ht="12" thickBot="1" x14ac:dyDescent="0.25">
      <c r="B28" s="115" t="s">
        <v>116</v>
      </c>
      <c r="C28" s="116">
        <f>SUM(C3:C27)</f>
        <v>25999</v>
      </c>
      <c r="D28" s="117">
        <f>SUM(D3:D27)</f>
        <v>24988</v>
      </c>
      <c r="E28" s="118">
        <f t="shared" ref="E28:R28" si="7">SUM(E3:E27)</f>
        <v>-1011</v>
      </c>
      <c r="F28" s="119">
        <f t="shared" si="7"/>
        <v>7371</v>
      </c>
      <c r="G28" s="116">
        <f t="shared" si="7"/>
        <v>7037</v>
      </c>
      <c r="H28" s="118">
        <f t="shared" si="7"/>
        <v>-334</v>
      </c>
      <c r="I28" s="119">
        <f t="shared" si="7"/>
        <v>5298</v>
      </c>
      <c r="J28" s="116">
        <f t="shared" si="7"/>
        <v>4423</v>
      </c>
      <c r="K28" s="118">
        <f t="shared" si="7"/>
        <v>-875</v>
      </c>
      <c r="L28" s="145">
        <f t="shared" si="7"/>
        <v>-2220</v>
      </c>
      <c r="M28" s="142">
        <f t="shared" si="7"/>
        <v>69046</v>
      </c>
      <c r="N28" s="116">
        <f t="shared" si="7"/>
        <v>52350</v>
      </c>
      <c r="O28" s="116">
        <f t="shared" si="7"/>
        <v>55952</v>
      </c>
      <c r="P28" s="118">
        <f t="shared" si="7"/>
        <v>65444</v>
      </c>
      <c r="Q28" s="119">
        <f t="shared" si="7"/>
        <v>65444</v>
      </c>
      <c r="R28" s="126">
        <f t="shared" si="7"/>
        <v>-3602</v>
      </c>
      <c r="S28" s="83"/>
      <c r="T28" s="123"/>
      <c r="U28" s="176"/>
      <c r="V28" s="123"/>
      <c r="W28" s="124"/>
      <c r="X28" s="123"/>
      <c r="Y28" s="124"/>
      <c r="Z28" s="188"/>
      <c r="AA28" s="189">
        <f t="shared" si="5"/>
        <v>0</v>
      </c>
    </row>
    <row r="30" spans="2:27" ht="12" thickBot="1" x14ac:dyDescent="0.25"/>
    <row r="31" spans="2:27" ht="34.5" thickBot="1" x14ac:dyDescent="0.25">
      <c r="B31" s="112" t="s">
        <v>27</v>
      </c>
      <c r="C31" s="166" t="s">
        <v>126</v>
      </c>
      <c r="D31" s="167" t="s">
        <v>154</v>
      </c>
      <c r="E31" s="167" t="s">
        <v>155</v>
      </c>
      <c r="F31" s="168" t="s">
        <v>156</v>
      </c>
      <c r="G31" s="113" t="s">
        <v>111</v>
      </c>
      <c r="H31" s="114" t="s">
        <v>112</v>
      </c>
    </row>
    <row r="32" spans="2:27" x14ac:dyDescent="0.2">
      <c r="B32" s="105" t="s">
        <v>0</v>
      </c>
      <c r="C32" s="88">
        <v>1184</v>
      </c>
      <c r="D32" s="87">
        <v>722</v>
      </c>
      <c r="E32" s="87">
        <v>887</v>
      </c>
      <c r="F32" s="89">
        <v>1019</v>
      </c>
      <c r="G32" s="103">
        <f>SUM(C32)+D32-E32</f>
        <v>1019</v>
      </c>
      <c r="H32" s="161">
        <f>SUM(F32-C32)</f>
        <v>-165</v>
      </c>
    </row>
    <row r="33" spans="2:8" x14ac:dyDescent="0.2">
      <c r="B33" s="107" t="s">
        <v>1</v>
      </c>
      <c r="C33" s="95">
        <v>4282</v>
      </c>
      <c r="D33" s="93">
        <v>2006</v>
      </c>
      <c r="E33" s="93">
        <v>2361</v>
      </c>
      <c r="F33" s="96">
        <v>3927</v>
      </c>
      <c r="G33" s="97">
        <f t="shared" ref="G33:G57" si="8">SUM(C33)+D33-E33</f>
        <v>3927</v>
      </c>
      <c r="H33" s="162">
        <f>SUM(F33-C33)</f>
        <v>-355</v>
      </c>
    </row>
    <row r="34" spans="2:8" x14ac:dyDescent="0.2">
      <c r="B34" s="107" t="s">
        <v>2</v>
      </c>
      <c r="C34" s="95">
        <v>2682</v>
      </c>
      <c r="D34" s="93">
        <v>2511</v>
      </c>
      <c r="E34" s="93">
        <v>2767</v>
      </c>
      <c r="F34" s="96">
        <v>2426</v>
      </c>
      <c r="G34" s="97">
        <f t="shared" si="8"/>
        <v>2426</v>
      </c>
      <c r="H34" s="156">
        <f t="shared" ref="H34:H57" si="9">SUM(F34-C34)</f>
        <v>-256</v>
      </c>
    </row>
    <row r="35" spans="2:8" x14ac:dyDescent="0.2">
      <c r="B35" s="107" t="s">
        <v>3</v>
      </c>
      <c r="C35" s="95">
        <v>5381</v>
      </c>
      <c r="D35" s="93">
        <v>3389</v>
      </c>
      <c r="E35" s="93">
        <v>4127</v>
      </c>
      <c r="F35" s="96">
        <v>4643</v>
      </c>
      <c r="G35" s="97">
        <f t="shared" si="8"/>
        <v>4643</v>
      </c>
      <c r="H35" s="156">
        <f t="shared" si="9"/>
        <v>-738</v>
      </c>
    </row>
    <row r="36" spans="2:8" x14ac:dyDescent="0.2">
      <c r="B36" s="107" t="s">
        <v>4</v>
      </c>
      <c r="C36" s="95">
        <v>5442</v>
      </c>
      <c r="D36" s="93">
        <v>3092</v>
      </c>
      <c r="E36" s="93">
        <v>3788</v>
      </c>
      <c r="F36" s="96">
        <v>4746</v>
      </c>
      <c r="G36" s="97">
        <f t="shared" si="8"/>
        <v>4746</v>
      </c>
      <c r="H36" s="156">
        <f t="shared" si="9"/>
        <v>-696</v>
      </c>
    </row>
    <row r="37" spans="2:8" x14ac:dyDescent="0.2">
      <c r="B37" s="107" t="s">
        <v>5</v>
      </c>
      <c r="C37" s="95">
        <v>1744</v>
      </c>
      <c r="D37" s="93">
        <v>1414</v>
      </c>
      <c r="E37" s="93">
        <v>1522</v>
      </c>
      <c r="F37" s="96">
        <v>1636</v>
      </c>
      <c r="G37" s="97">
        <f t="shared" si="8"/>
        <v>1636</v>
      </c>
      <c r="H37" s="156">
        <f t="shared" si="9"/>
        <v>-108</v>
      </c>
    </row>
    <row r="38" spans="2:8" x14ac:dyDescent="0.2">
      <c r="B38" s="107" t="s">
        <v>6</v>
      </c>
      <c r="C38" s="95">
        <v>1995</v>
      </c>
      <c r="D38" s="93">
        <v>1813</v>
      </c>
      <c r="E38" s="93">
        <v>1949</v>
      </c>
      <c r="F38" s="96">
        <v>1859</v>
      </c>
      <c r="G38" s="97">
        <f t="shared" si="8"/>
        <v>1859</v>
      </c>
      <c r="H38" s="156">
        <f t="shared" si="9"/>
        <v>-136</v>
      </c>
    </row>
    <row r="39" spans="2:8" x14ac:dyDescent="0.2">
      <c r="B39" s="107" t="s">
        <v>7</v>
      </c>
      <c r="C39" s="95">
        <v>1745</v>
      </c>
      <c r="D39" s="93">
        <v>913</v>
      </c>
      <c r="E39" s="93">
        <v>1099</v>
      </c>
      <c r="F39" s="96">
        <v>1559</v>
      </c>
      <c r="G39" s="97">
        <f t="shared" si="8"/>
        <v>1559</v>
      </c>
      <c r="H39" s="156">
        <f t="shared" si="9"/>
        <v>-186</v>
      </c>
    </row>
    <row r="40" spans="2:8" x14ac:dyDescent="0.2">
      <c r="B40" s="107" t="s">
        <v>8</v>
      </c>
      <c r="C40" s="95">
        <v>3656</v>
      </c>
      <c r="D40" s="93">
        <v>2208</v>
      </c>
      <c r="E40" s="93">
        <v>2669</v>
      </c>
      <c r="F40" s="96">
        <v>3195</v>
      </c>
      <c r="G40" s="97">
        <f t="shared" si="8"/>
        <v>3195</v>
      </c>
      <c r="H40" s="156">
        <f t="shared" si="9"/>
        <v>-461</v>
      </c>
    </row>
    <row r="41" spans="2:8" x14ac:dyDescent="0.2">
      <c r="B41" s="107" t="s">
        <v>9</v>
      </c>
      <c r="C41" s="95">
        <v>2056</v>
      </c>
      <c r="D41" s="93">
        <v>1380</v>
      </c>
      <c r="E41" s="93">
        <v>1823</v>
      </c>
      <c r="F41" s="96">
        <v>1613</v>
      </c>
      <c r="G41" s="97">
        <f t="shared" si="8"/>
        <v>1613</v>
      </c>
      <c r="H41" s="156">
        <f t="shared" si="9"/>
        <v>-443</v>
      </c>
    </row>
    <row r="42" spans="2:8" x14ac:dyDescent="0.2">
      <c r="B42" s="107" t="s">
        <v>10</v>
      </c>
      <c r="C42" s="95">
        <v>3297</v>
      </c>
      <c r="D42" s="93">
        <v>2258</v>
      </c>
      <c r="E42" s="93">
        <v>2773</v>
      </c>
      <c r="F42" s="96">
        <v>2782</v>
      </c>
      <c r="G42" s="97">
        <f t="shared" si="8"/>
        <v>2782</v>
      </c>
      <c r="H42" s="156">
        <f t="shared" si="9"/>
        <v>-515</v>
      </c>
    </row>
    <row r="43" spans="2:8" x14ac:dyDescent="0.2">
      <c r="B43" s="107" t="s">
        <v>11</v>
      </c>
      <c r="C43" s="95">
        <v>2900</v>
      </c>
      <c r="D43" s="93">
        <v>3204</v>
      </c>
      <c r="E43" s="93">
        <v>3458</v>
      </c>
      <c r="F43" s="96">
        <v>2646</v>
      </c>
      <c r="G43" s="97">
        <f t="shared" si="8"/>
        <v>2646</v>
      </c>
      <c r="H43" s="156">
        <f t="shared" si="9"/>
        <v>-254</v>
      </c>
    </row>
    <row r="44" spans="2:8" x14ac:dyDescent="0.2">
      <c r="B44" s="107" t="s">
        <v>12</v>
      </c>
      <c r="C44" s="95">
        <v>3334</v>
      </c>
      <c r="D44" s="93">
        <v>2125</v>
      </c>
      <c r="E44" s="93">
        <v>2303</v>
      </c>
      <c r="F44" s="96">
        <v>3156</v>
      </c>
      <c r="G44" s="97">
        <f t="shared" si="8"/>
        <v>3156</v>
      </c>
      <c r="H44" s="156">
        <f t="shared" si="9"/>
        <v>-178</v>
      </c>
    </row>
    <row r="45" spans="2:8" x14ac:dyDescent="0.2">
      <c r="B45" s="107" t="s">
        <v>13</v>
      </c>
      <c r="C45" s="95">
        <v>3711</v>
      </c>
      <c r="D45" s="93">
        <v>1773</v>
      </c>
      <c r="E45" s="93">
        <v>2509</v>
      </c>
      <c r="F45" s="96">
        <v>2975</v>
      </c>
      <c r="G45" s="97">
        <f t="shared" si="8"/>
        <v>2975</v>
      </c>
      <c r="H45" s="156">
        <f t="shared" si="9"/>
        <v>-736</v>
      </c>
    </row>
    <row r="46" spans="2:8" x14ac:dyDescent="0.2">
      <c r="B46" s="107" t="s">
        <v>14</v>
      </c>
      <c r="C46" s="95">
        <v>3851</v>
      </c>
      <c r="D46" s="93">
        <v>2576</v>
      </c>
      <c r="E46" s="93">
        <v>2926</v>
      </c>
      <c r="F46" s="96">
        <v>3501</v>
      </c>
      <c r="G46" s="97">
        <f t="shared" si="8"/>
        <v>3501</v>
      </c>
      <c r="H46" s="156">
        <f t="shared" si="9"/>
        <v>-350</v>
      </c>
    </row>
    <row r="47" spans="2:8" x14ac:dyDescent="0.2">
      <c r="B47" s="107" t="s">
        <v>15</v>
      </c>
      <c r="C47" s="95">
        <v>3190</v>
      </c>
      <c r="D47" s="93">
        <v>2113</v>
      </c>
      <c r="E47" s="93">
        <v>2339</v>
      </c>
      <c r="F47" s="96">
        <v>2964</v>
      </c>
      <c r="G47" s="97">
        <f t="shared" si="8"/>
        <v>2964</v>
      </c>
      <c r="H47" s="156">
        <f t="shared" si="9"/>
        <v>-226</v>
      </c>
    </row>
    <row r="48" spans="2:8" x14ac:dyDescent="0.2">
      <c r="B48" s="107" t="s">
        <v>16</v>
      </c>
      <c r="C48" s="95">
        <v>5678</v>
      </c>
      <c r="D48" s="93">
        <v>2913</v>
      </c>
      <c r="E48" s="93">
        <v>3707</v>
      </c>
      <c r="F48" s="96">
        <v>4884</v>
      </c>
      <c r="G48" s="97">
        <f t="shared" si="8"/>
        <v>4884</v>
      </c>
      <c r="H48" s="156">
        <f t="shared" si="9"/>
        <v>-794</v>
      </c>
    </row>
    <row r="49" spans="2:8" x14ac:dyDescent="0.2">
      <c r="B49" s="107" t="s">
        <v>17</v>
      </c>
      <c r="C49" s="95">
        <v>2488</v>
      </c>
      <c r="D49" s="93">
        <v>1988</v>
      </c>
      <c r="E49" s="93">
        <v>2061</v>
      </c>
      <c r="F49" s="96">
        <v>2415</v>
      </c>
      <c r="G49" s="97">
        <f t="shared" si="8"/>
        <v>2415</v>
      </c>
      <c r="H49" s="156">
        <f t="shared" si="9"/>
        <v>-73</v>
      </c>
    </row>
    <row r="50" spans="2:8" x14ac:dyDescent="0.2">
      <c r="B50" s="107" t="s">
        <v>18</v>
      </c>
      <c r="C50" s="95">
        <v>2204</v>
      </c>
      <c r="D50" s="93">
        <v>2280</v>
      </c>
      <c r="E50" s="93">
        <v>2481</v>
      </c>
      <c r="F50" s="96">
        <v>2003</v>
      </c>
      <c r="G50" s="97">
        <f t="shared" si="8"/>
        <v>2003</v>
      </c>
      <c r="H50" s="156">
        <f t="shared" si="9"/>
        <v>-201</v>
      </c>
    </row>
    <row r="51" spans="2:8" x14ac:dyDescent="0.2">
      <c r="B51" s="107" t="s">
        <v>19</v>
      </c>
      <c r="C51" s="95">
        <v>3535</v>
      </c>
      <c r="D51" s="93">
        <v>2088</v>
      </c>
      <c r="E51" s="93">
        <v>2403</v>
      </c>
      <c r="F51" s="96">
        <v>3220</v>
      </c>
      <c r="G51" s="97">
        <f t="shared" si="8"/>
        <v>3220</v>
      </c>
      <c r="H51" s="156">
        <f t="shared" si="9"/>
        <v>-315</v>
      </c>
    </row>
    <row r="52" spans="2:8" ht="12" thickBot="1" x14ac:dyDescent="0.25">
      <c r="B52" s="109" t="s">
        <v>115</v>
      </c>
      <c r="C52" s="99">
        <v>1610</v>
      </c>
      <c r="D52" s="98">
        <v>1158</v>
      </c>
      <c r="E52" s="98">
        <v>1457</v>
      </c>
      <c r="F52" s="100">
        <v>1311</v>
      </c>
      <c r="G52" s="101">
        <f t="shared" si="8"/>
        <v>1311</v>
      </c>
      <c r="H52" s="163">
        <f t="shared" si="9"/>
        <v>-299</v>
      </c>
    </row>
    <row r="53" spans="2:8" x14ac:dyDescent="0.2">
      <c r="B53" s="92" t="s">
        <v>21</v>
      </c>
      <c r="C53" s="95">
        <v>701</v>
      </c>
      <c r="D53" s="93">
        <v>794</v>
      </c>
      <c r="E53" s="93">
        <v>754</v>
      </c>
      <c r="F53" s="96">
        <v>741</v>
      </c>
      <c r="G53" s="85">
        <f t="shared" si="8"/>
        <v>741</v>
      </c>
      <c r="H53" s="169">
        <f>SUM(F53-C53)</f>
        <v>40</v>
      </c>
    </row>
    <row r="54" spans="2:8" x14ac:dyDescent="0.2">
      <c r="B54" s="92" t="s">
        <v>22</v>
      </c>
      <c r="C54" s="95">
        <v>2907</v>
      </c>
      <c r="D54" s="93">
        <v>1461</v>
      </c>
      <c r="E54" s="93">
        <v>1855</v>
      </c>
      <c r="F54" s="96">
        <v>2513</v>
      </c>
      <c r="G54" s="97">
        <f t="shared" si="8"/>
        <v>2513</v>
      </c>
      <c r="H54" s="156">
        <f t="shared" si="9"/>
        <v>-394</v>
      </c>
    </row>
    <row r="55" spans="2:8" x14ac:dyDescent="0.2">
      <c r="B55" s="92" t="s">
        <v>23</v>
      </c>
      <c r="C55" s="95">
        <v>6294</v>
      </c>
      <c r="D55" s="93">
        <v>3693</v>
      </c>
      <c r="E55" s="93">
        <v>4153</v>
      </c>
      <c r="F55" s="96">
        <v>5834</v>
      </c>
      <c r="G55" s="97">
        <f t="shared" si="8"/>
        <v>5834</v>
      </c>
      <c r="H55" s="156">
        <f t="shared" si="9"/>
        <v>-460</v>
      </c>
    </row>
    <row r="56" spans="2:8" ht="12" thickBot="1" x14ac:dyDescent="0.25">
      <c r="B56" s="120" t="s">
        <v>24</v>
      </c>
      <c r="C56" s="99">
        <v>1424</v>
      </c>
      <c r="D56" s="98">
        <v>1054</v>
      </c>
      <c r="E56" s="98">
        <v>1327</v>
      </c>
      <c r="F56" s="100">
        <v>1151</v>
      </c>
      <c r="G56" s="122">
        <f t="shared" si="8"/>
        <v>1151</v>
      </c>
      <c r="H56" s="158">
        <f t="shared" si="9"/>
        <v>-273</v>
      </c>
    </row>
    <row r="57" spans="2:8" ht="12" thickBot="1" x14ac:dyDescent="0.25">
      <c r="B57" s="115" t="s">
        <v>116</v>
      </c>
      <c r="C57" s="117">
        <f>SUM(C32:C56)</f>
        <v>77291</v>
      </c>
      <c r="D57" s="116">
        <f>SUM(D32:D56)</f>
        <v>50926</v>
      </c>
      <c r="E57" s="116">
        <f>SUM(E32:E56)</f>
        <v>59498</v>
      </c>
      <c r="F57" s="118">
        <f>SUM(F32:F56)</f>
        <v>68719</v>
      </c>
      <c r="G57" s="119">
        <f t="shared" si="8"/>
        <v>68719</v>
      </c>
      <c r="H57" s="118">
        <f t="shared" si="9"/>
        <v>-8572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</sheetPr>
  <dimension ref="B1:L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customWidth="1"/>
    <col min="10" max="10" width="15.140625" style="3" customWidth="1"/>
    <col min="11" max="11" width="10.85546875" style="3" customWidth="1"/>
    <col min="12" max="12" width="10.42578125" style="3" customWidth="1"/>
    <col min="13" max="13" width="5.5703125" style="3" customWidth="1"/>
    <col min="14" max="16384" width="9.140625" style="3"/>
  </cols>
  <sheetData>
    <row r="1" spans="2:12" x14ac:dyDescent="0.2">
      <c r="B1" s="2" t="s">
        <v>80</v>
      </c>
      <c r="I1" s="3" t="s">
        <v>85</v>
      </c>
    </row>
    <row r="2" spans="2:12" ht="75" customHeight="1" x14ac:dyDescent="0.2">
      <c r="B2" s="55" t="s">
        <v>27</v>
      </c>
      <c r="C2" s="56" t="s">
        <v>129</v>
      </c>
      <c r="D2" s="57" t="s">
        <v>119</v>
      </c>
      <c r="E2" s="56" t="s">
        <v>28</v>
      </c>
      <c r="F2" s="57" t="s">
        <v>130</v>
      </c>
      <c r="G2" s="56" t="s">
        <v>26</v>
      </c>
      <c r="I2" s="55" t="s">
        <v>27</v>
      </c>
      <c r="J2" s="56" t="str">
        <f>T('1bezr.'!C2)</f>
        <v>liczba bezrobotnych ogółem stan na 31 VII '23 r.</v>
      </c>
      <c r="K2" s="56" t="s">
        <v>78</v>
      </c>
      <c r="L2" s="56" t="s">
        <v>94</v>
      </c>
    </row>
    <row r="3" spans="2:12" x14ac:dyDescent="0.2">
      <c r="B3" s="5" t="s">
        <v>0</v>
      </c>
      <c r="C3" s="6">
        <v>501</v>
      </c>
      <c r="D3" s="61">
        <v>482</v>
      </c>
      <c r="E3" s="6">
        <f t="shared" ref="E3:E26" si="0">SUM(C3)-D3</f>
        <v>19</v>
      </c>
      <c r="F3" s="61">
        <v>535</v>
      </c>
      <c r="G3" s="6">
        <f t="shared" ref="G3:G26" si="1">SUM(C3)-F3</f>
        <v>-34</v>
      </c>
      <c r="I3" s="5" t="s">
        <v>0</v>
      </c>
      <c r="J3" s="6">
        <f>SUM('1bezr.'!C3)</f>
        <v>997</v>
      </c>
      <c r="K3" s="6">
        <f>SUM(C3)</f>
        <v>501</v>
      </c>
      <c r="L3" s="24">
        <f t="shared" ref="L3:L28" si="2">SUM(K3)/J3*100</f>
        <v>50.250752256770312</v>
      </c>
    </row>
    <row r="4" spans="2:12" x14ac:dyDescent="0.2">
      <c r="B4" s="5" t="s">
        <v>1</v>
      </c>
      <c r="C4" s="6">
        <v>1942</v>
      </c>
      <c r="D4" s="61">
        <v>1886</v>
      </c>
      <c r="E4" s="6">
        <f t="shared" si="0"/>
        <v>56</v>
      </c>
      <c r="F4" s="61">
        <v>2111</v>
      </c>
      <c r="G4" s="6">
        <f t="shared" si="1"/>
        <v>-169</v>
      </c>
      <c r="I4" s="5" t="s">
        <v>1</v>
      </c>
      <c r="J4" s="6">
        <f>SUM('1bezr.'!C4)</f>
        <v>3608</v>
      </c>
      <c r="K4" s="6">
        <f t="shared" ref="K4:K27" si="3">SUM(C4)</f>
        <v>1942</v>
      </c>
      <c r="L4" s="24">
        <f t="shared" si="2"/>
        <v>53.824833702882479</v>
      </c>
    </row>
    <row r="5" spans="2:12" x14ac:dyDescent="0.2">
      <c r="B5" s="5" t="s">
        <v>2</v>
      </c>
      <c r="C5" s="6">
        <v>1461</v>
      </c>
      <c r="D5" s="61">
        <v>1438</v>
      </c>
      <c r="E5" s="6">
        <f t="shared" si="0"/>
        <v>23</v>
      </c>
      <c r="F5" s="61">
        <v>1559</v>
      </c>
      <c r="G5" s="6">
        <f t="shared" si="1"/>
        <v>-98</v>
      </c>
      <c r="I5" s="5" t="s">
        <v>2</v>
      </c>
      <c r="J5" s="6">
        <f>SUM('1bezr.'!C5)</f>
        <v>2386</v>
      </c>
      <c r="K5" s="6">
        <f t="shared" si="3"/>
        <v>1461</v>
      </c>
      <c r="L5" s="24">
        <f t="shared" si="2"/>
        <v>61.232187761944679</v>
      </c>
    </row>
    <row r="6" spans="2:12" x14ac:dyDescent="0.2">
      <c r="B6" s="5" t="s">
        <v>3</v>
      </c>
      <c r="C6" s="6">
        <v>2245</v>
      </c>
      <c r="D6" s="61">
        <v>2245</v>
      </c>
      <c r="E6" s="6">
        <f t="shared" si="0"/>
        <v>0</v>
      </c>
      <c r="F6" s="61">
        <v>2564</v>
      </c>
      <c r="G6" s="6">
        <f t="shared" si="1"/>
        <v>-319</v>
      </c>
      <c r="I6" s="5" t="s">
        <v>3</v>
      </c>
      <c r="J6" s="6">
        <f>SUM('1bezr.'!C6)</f>
        <v>4222</v>
      </c>
      <c r="K6" s="6">
        <f t="shared" si="3"/>
        <v>2245</v>
      </c>
      <c r="L6" s="24">
        <f t="shared" si="2"/>
        <v>53.173851255329232</v>
      </c>
    </row>
    <row r="7" spans="2:12" x14ac:dyDescent="0.2">
      <c r="B7" s="5" t="s">
        <v>4</v>
      </c>
      <c r="C7" s="6">
        <v>2718</v>
      </c>
      <c r="D7" s="61">
        <v>2696</v>
      </c>
      <c r="E7" s="6">
        <f t="shared" si="0"/>
        <v>22</v>
      </c>
      <c r="F7" s="61">
        <v>2839</v>
      </c>
      <c r="G7" s="6">
        <f t="shared" si="1"/>
        <v>-121</v>
      </c>
      <c r="I7" s="5" t="s">
        <v>4</v>
      </c>
      <c r="J7" s="6">
        <f>SUM('1bezr.'!C7)</f>
        <v>4709</v>
      </c>
      <c r="K7" s="6">
        <f t="shared" si="3"/>
        <v>2718</v>
      </c>
      <c r="L7" s="24">
        <f t="shared" si="2"/>
        <v>57.719260989594389</v>
      </c>
    </row>
    <row r="8" spans="2:12" x14ac:dyDescent="0.2">
      <c r="B8" s="5" t="s">
        <v>5</v>
      </c>
      <c r="C8" s="6">
        <v>775</v>
      </c>
      <c r="D8" s="61">
        <v>771</v>
      </c>
      <c r="E8" s="6">
        <f t="shared" si="0"/>
        <v>4</v>
      </c>
      <c r="F8" s="61">
        <v>888</v>
      </c>
      <c r="G8" s="6">
        <f t="shared" si="1"/>
        <v>-113</v>
      </c>
      <c r="I8" s="5" t="s">
        <v>5</v>
      </c>
      <c r="J8" s="6">
        <f>SUM('1bezr.'!C8)</f>
        <v>1528</v>
      </c>
      <c r="K8" s="6">
        <f t="shared" si="3"/>
        <v>775</v>
      </c>
      <c r="L8" s="24">
        <f>SUM(K8)/J8*100</f>
        <v>50.719895287958117</v>
      </c>
    </row>
    <row r="9" spans="2:12" x14ac:dyDescent="0.2">
      <c r="B9" s="9" t="s">
        <v>6</v>
      </c>
      <c r="C9" s="6">
        <v>1147</v>
      </c>
      <c r="D9" s="61">
        <v>1128</v>
      </c>
      <c r="E9" s="6">
        <f t="shared" si="0"/>
        <v>19</v>
      </c>
      <c r="F9" s="61">
        <v>1065</v>
      </c>
      <c r="G9" s="6">
        <f t="shared" si="1"/>
        <v>82</v>
      </c>
      <c r="I9" s="9" t="s">
        <v>6</v>
      </c>
      <c r="J9" s="6">
        <f>SUM('1bezr.'!C9)</f>
        <v>2095</v>
      </c>
      <c r="K9" s="6">
        <f t="shared" si="3"/>
        <v>1147</v>
      </c>
      <c r="L9" s="24">
        <f t="shared" si="2"/>
        <v>54.749403341288783</v>
      </c>
    </row>
    <row r="10" spans="2:12" x14ac:dyDescent="0.2">
      <c r="B10" s="5" t="s">
        <v>7</v>
      </c>
      <c r="C10" s="6">
        <v>698</v>
      </c>
      <c r="D10" s="61">
        <v>740</v>
      </c>
      <c r="E10" s="6">
        <f t="shared" si="0"/>
        <v>-42</v>
      </c>
      <c r="F10" s="61">
        <v>721</v>
      </c>
      <c r="G10" s="6">
        <f t="shared" si="1"/>
        <v>-23</v>
      </c>
      <c r="I10" s="5" t="s">
        <v>7</v>
      </c>
      <c r="J10" s="6">
        <f>SUM('1bezr.'!C10)</f>
        <v>1510</v>
      </c>
      <c r="K10" s="6">
        <f t="shared" si="3"/>
        <v>698</v>
      </c>
      <c r="L10" s="24">
        <f t="shared" si="2"/>
        <v>46.225165562913908</v>
      </c>
    </row>
    <row r="11" spans="2:12" x14ac:dyDescent="0.2">
      <c r="B11" s="5" t="s">
        <v>8</v>
      </c>
      <c r="C11" s="6">
        <v>1559</v>
      </c>
      <c r="D11" s="61">
        <v>1542</v>
      </c>
      <c r="E11" s="6">
        <f t="shared" si="0"/>
        <v>17</v>
      </c>
      <c r="F11" s="61">
        <v>1643</v>
      </c>
      <c r="G11" s="6">
        <f t="shared" si="1"/>
        <v>-84</v>
      </c>
      <c r="I11" s="5" t="s">
        <v>8</v>
      </c>
      <c r="J11" s="6">
        <f>SUM('1bezr.'!C11)</f>
        <v>2933</v>
      </c>
      <c r="K11" s="6">
        <f t="shared" si="3"/>
        <v>1559</v>
      </c>
      <c r="L11" s="24">
        <f t="shared" si="2"/>
        <v>53.153767473576544</v>
      </c>
    </row>
    <row r="12" spans="2:12" x14ac:dyDescent="0.2">
      <c r="B12" s="5" t="s">
        <v>9</v>
      </c>
      <c r="C12" s="6">
        <v>762</v>
      </c>
      <c r="D12" s="61">
        <v>720</v>
      </c>
      <c r="E12" s="6">
        <f t="shared" si="0"/>
        <v>42</v>
      </c>
      <c r="F12" s="61">
        <v>768</v>
      </c>
      <c r="G12" s="6">
        <f t="shared" si="1"/>
        <v>-6</v>
      </c>
      <c r="I12" s="5" t="s">
        <v>9</v>
      </c>
      <c r="J12" s="6">
        <f>SUM('1bezr.'!C12)</f>
        <v>1616</v>
      </c>
      <c r="K12" s="6">
        <f t="shared" si="3"/>
        <v>762</v>
      </c>
      <c r="L12" s="24">
        <f t="shared" si="2"/>
        <v>47.153465346534652</v>
      </c>
    </row>
    <row r="13" spans="2:12" x14ac:dyDescent="0.2">
      <c r="B13" s="5" t="s">
        <v>10</v>
      </c>
      <c r="C13" s="6">
        <v>1260</v>
      </c>
      <c r="D13" s="61">
        <v>1238</v>
      </c>
      <c r="E13" s="6">
        <f t="shared" si="0"/>
        <v>22</v>
      </c>
      <c r="F13" s="61">
        <v>1469</v>
      </c>
      <c r="G13" s="6">
        <f t="shared" si="1"/>
        <v>-209</v>
      </c>
      <c r="I13" s="5" t="s">
        <v>10</v>
      </c>
      <c r="J13" s="6">
        <f>SUM('1bezr.'!C13)</f>
        <v>2519</v>
      </c>
      <c r="K13" s="6">
        <f t="shared" si="3"/>
        <v>1260</v>
      </c>
      <c r="L13" s="24">
        <f t="shared" si="2"/>
        <v>50.019849146486706</v>
      </c>
    </row>
    <row r="14" spans="2:12" x14ac:dyDescent="0.2">
      <c r="B14" s="5" t="s">
        <v>11</v>
      </c>
      <c r="C14" s="6">
        <v>1462</v>
      </c>
      <c r="D14" s="61">
        <v>1425</v>
      </c>
      <c r="E14" s="6">
        <f t="shared" si="0"/>
        <v>37</v>
      </c>
      <c r="F14" s="61">
        <v>1412</v>
      </c>
      <c r="G14" s="6">
        <f t="shared" si="1"/>
        <v>50</v>
      </c>
      <c r="I14" s="5" t="s">
        <v>11</v>
      </c>
      <c r="J14" s="6">
        <f>SUM('1bezr.'!C14)</f>
        <v>2837</v>
      </c>
      <c r="K14" s="6">
        <f t="shared" si="3"/>
        <v>1462</v>
      </c>
      <c r="L14" s="24">
        <f t="shared" si="2"/>
        <v>51.533309834332044</v>
      </c>
    </row>
    <row r="15" spans="2:12" x14ac:dyDescent="0.2">
      <c r="B15" s="5" t="s">
        <v>12</v>
      </c>
      <c r="C15" s="6">
        <v>1579</v>
      </c>
      <c r="D15" s="61">
        <v>1548</v>
      </c>
      <c r="E15" s="6">
        <f t="shared" si="0"/>
        <v>31</v>
      </c>
      <c r="F15" s="61">
        <v>1669</v>
      </c>
      <c r="G15" s="6">
        <f t="shared" si="1"/>
        <v>-90</v>
      </c>
      <c r="I15" s="5" t="s">
        <v>12</v>
      </c>
      <c r="J15" s="6">
        <f>SUM('1bezr.'!C15)</f>
        <v>3032</v>
      </c>
      <c r="K15" s="6">
        <f t="shared" si="3"/>
        <v>1579</v>
      </c>
      <c r="L15" s="24">
        <f t="shared" si="2"/>
        <v>52.077836411609503</v>
      </c>
    </row>
    <row r="16" spans="2:12" x14ac:dyDescent="0.2">
      <c r="B16" s="5" t="s">
        <v>13</v>
      </c>
      <c r="C16" s="6">
        <v>1450</v>
      </c>
      <c r="D16" s="61">
        <v>1448</v>
      </c>
      <c r="E16" s="6">
        <f t="shared" si="0"/>
        <v>2</v>
      </c>
      <c r="F16" s="61">
        <v>1615</v>
      </c>
      <c r="G16" s="6">
        <f t="shared" si="1"/>
        <v>-165</v>
      </c>
      <c r="I16" s="5" t="s">
        <v>13</v>
      </c>
      <c r="J16" s="6">
        <f>SUM('1bezr.'!C16)</f>
        <v>2740</v>
      </c>
      <c r="K16" s="6">
        <f t="shared" si="3"/>
        <v>1450</v>
      </c>
      <c r="L16" s="24">
        <f t="shared" si="2"/>
        <v>52.919708029197075</v>
      </c>
    </row>
    <row r="17" spans="2:12" x14ac:dyDescent="0.2">
      <c r="B17" s="5" t="s">
        <v>14</v>
      </c>
      <c r="C17" s="6">
        <v>1791</v>
      </c>
      <c r="D17" s="61">
        <v>1720</v>
      </c>
      <c r="E17" s="6">
        <f t="shared" si="0"/>
        <v>71</v>
      </c>
      <c r="F17" s="61">
        <v>2021</v>
      </c>
      <c r="G17" s="6">
        <f t="shared" si="1"/>
        <v>-230</v>
      </c>
      <c r="I17" s="5" t="s">
        <v>14</v>
      </c>
      <c r="J17" s="6">
        <f>SUM('1bezr.'!C17)</f>
        <v>3268</v>
      </c>
      <c r="K17" s="6">
        <f t="shared" si="3"/>
        <v>1791</v>
      </c>
      <c r="L17" s="24">
        <f t="shared" si="2"/>
        <v>54.804161566707464</v>
      </c>
    </row>
    <row r="18" spans="2:12" x14ac:dyDescent="0.2">
      <c r="B18" s="5" t="s">
        <v>15</v>
      </c>
      <c r="C18" s="6">
        <v>1402</v>
      </c>
      <c r="D18" s="61">
        <v>1390</v>
      </c>
      <c r="E18" s="6">
        <f t="shared" si="0"/>
        <v>12</v>
      </c>
      <c r="F18" s="61">
        <v>1656</v>
      </c>
      <c r="G18" s="6">
        <f t="shared" si="1"/>
        <v>-254</v>
      </c>
      <c r="I18" s="5" t="s">
        <v>15</v>
      </c>
      <c r="J18" s="6">
        <f>SUM('1bezr.'!C18)</f>
        <v>2569</v>
      </c>
      <c r="K18" s="6">
        <f t="shared" si="3"/>
        <v>1402</v>
      </c>
      <c r="L18" s="24">
        <f t="shared" si="2"/>
        <v>54.573764110548851</v>
      </c>
    </row>
    <row r="19" spans="2:12" x14ac:dyDescent="0.2">
      <c r="B19" s="5" t="s">
        <v>16</v>
      </c>
      <c r="C19" s="6">
        <v>2329</v>
      </c>
      <c r="D19" s="61">
        <v>2293</v>
      </c>
      <c r="E19" s="6">
        <f t="shared" si="0"/>
        <v>36</v>
      </c>
      <c r="F19" s="61">
        <v>2527</v>
      </c>
      <c r="G19" s="6">
        <f t="shared" si="1"/>
        <v>-198</v>
      </c>
      <c r="I19" s="5" t="s">
        <v>16</v>
      </c>
      <c r="J19" s="6">
        <f>SUM('1bezr.'!C19)</f>
        <v>4618</v>
      </c>
      <c r="K19" s="6">
        <f t="shared" si="3"/>
        <v>2329</v>
      </c>
      <c r="L19" s="24">
        <f t="shared" si="2"/>
        <v>50.433087916847121</v>
      </c>
    </row>
    <row r="20" spans="2:12" x14ac:dyDescent="0.2">
      <c r="B20" s="5" t="s">
        <v>17</v>
      </c>
      <c r="C20" s="6">
        <v>1366</v>
      </c>
      <c r="D20" s="61">
        <v>1342</v>
      </c>
      <c r="E20" s="6">
        <f t="shared" si="0"/>
        <v>24</v>
      </c>
      <c r="F20" s="61">
        <v>1236</v>
      </c>
      <c r="G20" s="6">
        <f t="shared" si="1"/>
        <v>130</v>
      </c>
      <c r="I20" s="5" t="s">
        <v>17</v>
      </c>
      <c r="J20" s="6">
        <f>SUM('1bezr.'!C20)</f>
        <v>2657</v>
      </c>
      <c r="K20" s="6">
        <f t="shared" si="3"/>
        <v>1366</v>
      </c>
      <c r="L20" s="24">
        <f t="shared" si="2"/>
        <v>51.411366202483997</v>
      </c>
    </row>
    <row r="21" spans="2:12" x14ac:dyDescent="0.2">
      <c r="B21" s="5" t="s">
        <v>18</v>
      </c>
      <c r="C21" s="6">
        <v>1035</v>
      </c>
      <c r="D21" s="61">
        <v>988</v>
      </c>
      <c r="E21" s="6">
        <f t="shared" si="0"/>
        <v>47</v>
      </c>
      <c r="F21" s="61">
        <v>1135</v>
      </c>
      <c r="G21" s="6">
        <f t="shared" si="1"/>
        <v>-100</v>
      </c>
      <c r="I21" s="5" t="s">
        <v>18</v>
      </c>
      <c r="J21" s="6">
        <f>SUM('1bezr.'!C21)</f>
        <v>1891</v>
      </c>
      <c r="K21" s="6">
        <f t="shared" si="3"/>
        <v>1035</v>
      </c>
      <c r="L21" s="24">
        <f t="shared" si="2"/>
        <v>54.732945531464836</v>
      </c>
    </row>
    <row r="22" spans="2:12" x14ac:dyDescent="0.2">
      <c r="B22" s="5" t="s">
        <v>19</v>
      </c>
      <c r="C22" s="6">
        <v>1596</v>
      </c>
      <c r="D22" s="61">
        <v>1594</v>
      </c>
      <c r="E22" s="6">
        <f t="shared" si="0"/>
        <v>2</v>
      </c>
      <c r="F22" s="61">
        <v>1735</v>
      </c>
      <c r="G22" s="6">
        <f t="shared" si="1"/>
        <v>-139</v>
      </c>
      <c r="I22" s="5" t="s">
        <v>19</v>
      </c>
      <c r="J22" s="6">
        <f>SUM('1bezr.'!C22)</f>
        <v>3007</v>
      </c>
      <c r="K22" s="6">
        <f t="shared" si="3"/>
        <v>1596</v>
      </c>
      <c r="L22" s="24">
        <f t="shared" si="2"/>
        <v>53.076155636847353</v>
      </c>
    </row>
    <row r="23" spans="2:12" x14ac:dyDescent="0.2">
      <c r="B23" s="5" t="s">
        <v>20</v>
      </c>
      <c r="C23" s="6">
        <v>659</v>
      </c>
      <c r="D23" s="61">
        <v>654</v>
      </c>
      <c r="E23" s="6">
        <f t="shared" si="0"/>
        <v>5</v>
      </c>
      <c r="F23" s="61">
        <v>749</v>
      </c>
      <c r="G23" s="6">
        <f t="shared" si="1"/>
        <v>-90</v>
      </c>
      <c r="I23" s="5" t="s">
        <v>20</v>
      </c>
      <c r="J23" s="6">
        <f>SUM('1bezr.'!C23)</f>
        <v>1233</v>
      </c>
      <c r="K23" s="6">
        <f t="shared" si="3"/>
        <v>659</v>
      </c>
      <c r="L23" s="24">
        <f t="shared" si="2"/>
        <v>53.446877534468776</v>
      </c>
    </row>
    <row r="24" spans="2:12" x14ac:dyDescent="0.2">
      <c r="B24" s="5" t="s">
        <v>21</v>
      </c>
      <c r="C24" s="6">
        <v>401</v>
      </c>
      <c r="D24" s="61">
        <v>396</v>
      </c>
      <c r="E24" s="6">
        <f t="shared" si="0"/>
        <v>5</v>
      </c>
      <c r="F24" s="61">
        <v>421</v>
      </c>
      <c r="G24" s="6">
        <f t="shared" si="1"/>
        <v>-20</v>
      </c>
      <c r="I24" s="5" t="s">
        <v>21</v>
      </c>
      <c r="J24" s="6">
        <f>SUM('1bezr.'!C24)</f>
        <v>716</v>
      </c>
      <c r="K24" s="6">
        <f t="shared" si="3"/>
        <v>401</v>
      </c>
      <c r="L24" s="24">
        <f t="shared" si="2"/>
        <v>56.005586592178766</v>
      </c>
    </row>
    <row r="25" spans="2:12" x14ac:dyDescent="0.2">
      <c r="B25" s="5" t="s">
        <v>22</v>
      </c>
      <c r="C25" s="6">
        <v>1178</v>
      </c>
      <c r="D25" s="61">
        <v>1171</v>
      </c>
      <c r="E25" s="6">
        <f t="shared" si="0"/>
        <v>7</v>
      </c>
      <c r="F25" s="61">
        <v>1272</v>
      </c>
      <c r="G25" s="6">
        <f t="shared" si="1"/>
        <v>-94</v>
      </c>
      <c r="I25" s="5" t="s">
        <v>22</v>
      </c>
      <c r="J25" s="6">
        <f>SUM('1bezr.'!C25)</f>
        <v>2374</v>
      </c>
      <c r="K25" s="6">
        <f t="shared" si="3"/>
        <v>1178</v>
      </c>
      <c r="L25" s="24">
        <f t="shared" si="2"/>
        <v>49.62089300758214</v>
      </c>
    </row>
    <row r="26" spans="2:12" x14ac:dyDescent="0.2">
      <c r="B26" s="5" t="s">
        <v>23</v>
      </c>
      <c r="C26" s="6">
        <v>2752</v>
      </c>
      <c r="D26" s="61">
        <v>2721</v>
      </c>
      <c r="E26" s="6">
        <f t="shared" si="0"/>
        <v>31</v>
      </c>
      <c r="F26" s="61">
        <v>3075</v>
      </c>
      <c r="G26" s="6">
        <f t="shared" si="1"/>
        <v>-323</v>
      </c>
      <c r="I26" s="5" t="s">
        <v>23</v>
      </c>
      <c r="J26" s="6">
        <f>SUM('1bezr.'!C26)</f>
        <v>5304</v>
      </c>
      <c r="K26" s="6">
        <f t="shared" si="3"/>
        <v>2752</v>
      </c>
      <c r="L26" s="24">
        <f t="shared" si="2"/>
        <v>51.885369532428363</v>
      </c>
    </row>
    <row r="27" spans="2:12" x14ac:dyDescent="0.2">
      <c r="B27" s="5" t="s">
        <v>24</v>
      </c>
      <c r="C27" s="6">
        <v>544</v>
      </c>
      <c r="D27" s="61">
        <v>528</v>
      </c>
      <c r="E27" s="6">
        <f>SUM(C27)-D27</f>
        <v>16</v>
      </c>
      <c r="F27" s="61">
        <v>607</v>
      </c>
      <c r="G27" s="6">
        <f>SUM(C27)-F27</f>
        <v>-63</v>
      </c>
      <c r="I27" s="5" t="s">
        <v>24</v>
      </c>
      <c r="J27" s="6">
        <f>SUM('1bezr.'!C27)</f>
        <v>1075</v>
      </c>
      <c r="K27" s="6">
        <f t="shared" si="3"/>
        <v>544</v>
      </c>
      <c r="L27" s="24">
        <f t="shared" si="2"/>
        <v>50.604651162790695</v>
      </c>
    </row>
    <row r="28" spans="2:12" ht="15" x14ac:dyDescent="0.25">
      <c r="B28" s="58" t="s">
        <v>25</v>
      </c>
      <c r="C28" s="59">
        <f>SUM(C3:C27)</f>
        <v>34612</v>
      </c>
      <c r="D28" s="60">
        <f>SUM(D3:D27)</f>
        <v>34104</v>
      </c>
      <c r="E28" s="59">
        <f>SUM(E3:E27)</f>
        <v>508</v>
      </c>
      <c r="F28" s="60">
        <f>SUM(F3:F27)</f>
        <v>37292</v>
      </c>
      <c r="G28" s="59">
        <f>SUM(G3:G27)</f>
        <v>-2680</v>
      </c>
      <c r="I28" s="58" t="s">
        <v>25</v>
      </c>
      <c r="J28" s="59">
        <f>SUM(J3:J27)</f>
        <v>65444</v>
      </c>
      <c r="K28" s="59">
        <f>SUM(K3:K27)</f>
        <v>34612</v>
      </c>
      <c r="L28" s="64">
        <f t="shared" si="2"/>
        <v>52.887965283295642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80</v>
      </c>
    </row>
    <row r="2" spans="2:8" ht="15" x14ac:dyDescent="0.2">
      <c r="C2" s="20"/>
      <c r="D2" s="21"/>
    </row>
    <row r="3" spans="2:8" ht="57" x14ac:dyDescent="0.2">
      <c r="B3" s="62" t="s">
        <v>88</v>
      </c>
      <c r="C3" s="55" t="str">
        <f>T('2kob.'!B2)</f>
        <v>powiaty</v>
      </c>
      <c r="D3" s="55" t="str">
        <f>T('2kob.'!C2)</f>
        <v>liczba bezrobotnych kobiet stan na 31 VII '23 r.</v>
      </c>
      <c r="E3" s="55" t="str">
        <f>T('2kob.'!D2)</f>
        <v>liczba bezrobotnych kobiet stan na 30 VI '23 r.</v>
      </c>
      <c r="F3" s="55" t="str">
        <f>T('2kob.'!E2)</f>
        <v>wzrost/spadek do poprzedniego  miesiąca</v>
      </c>
      <c r="G3" s="55" t="str">
        <f>T('2kob.'!F2)</f>
        <v>liczba bezrobotnych kobiet stan na 31 VII '22 r.</v>
      </c>
      <c r="H3" s="55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5">
        <f>INDEX('2kob.'!B3:G28,MATCH(1,B4:B29,0),2)</f>
        <v>401</v>
      </c>
      <c r="E4" s="61">
        <f>INDEX('2kob.'!B3:G28,MATCH(1,B4:B29,0),3)</f>
        <v>396</v>
      </c>
      <c r="F4" s="6">
        <f>INDEX('2kob.'!B3:G28,MATCH(1,B4:B29,0),4)</f>
        <v>5</v>
      </c>
      <c r="G4" s="61">
        <f>INDEX('2kob.'!B3:G28,MATCH(1,B4:B29,0),5)</f>
        <v>421</v>
      </c>
      <c r="H4" s="6">
        <f>INDEX('2kob.'!B3:G28,MATCH(1,B4:B29,0),6)</f>
        <v>-20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501</v>
      </c>
      <c r="E5" s="61">
        <f>INDEX('2kob.'!B3:G28,MATCH(2,B4:B29,0),3)</f>
        <v>482</v>
      </c>
      <c r="F5" s="6">
        <f>INDEX('2kob.'!B3:G28,MATCH(2,B4:B29,0),4)</f>
        <v>19</v>
      </c>
      <c r="G5" s="61">
        <f>INDEX('2kob.'!B3:G28,MATCH(2,B4:B29,0),5)</f>
        <v>535</v>
      </c>
      <c r="H5" s="6">
        <f>INDEX('2kob.'!B3:G28,MATCH(2,B4:B29,0),6)</f>
        <v>-34</v>
      </c>
    </row>
    <row r="6" spans="2:8" x14ac:dyDescent="0.2">
      <c r="B6" s="6">
        <f>RANK('2kob.'!C5,'2kob.'!$C$3:'2kob.'!$C$28,1)+COUNTIF('2kob.'!$C$3:'2kob.'!C5,'2kob.'!C5)-1</f>
        <v>15</v>
      </c>
      <c r="C6" s="5" t="str">
        <f>INDEX('2kob.'!B3:G28,MATCH(3,B4:B29,0),1)</f>
        <v>Tarnobrzeg</v>
      </c>
      <c r="D6" s="6">
        <f>INDEX('2kob.'!B3:G28,MATCH(3,B4:B29,0),2)</f>
        <v>544</v>
      </c>
      <c r="E6" s="61">
        <f>INDEX('2kob.'!B3:G28,MATCH(3,B4:B29,0),3)</f>
        <v>528</v>
      </c>
      <c r="F6" s="6">
        <f>INDEX('2kob.'!B3:G28,MATCH(3,B4:B29,0),4)</f>
        <v>16</v>
      </c>
      <c r="G6" s="61">
        <f>INDEX('2kob.'!B3:G28,MATCH(3,B4:B29,0),5)</f>
        <v>607</v>
      </c>
      <c r="H6" s="6">
        <f>INDEX('2kob.'!B3:G28,MATCH(3,B4:B29,0),6)</f>
        <v>-63</v>
      </c>
    </row>
    <row r="7" spans="2:8" x14ac:dyDescent="0.2">
      <c r="B7" s="6">
        <f>RANK('2kob.'!C6,'2kob.'!$C$3:'2kob.'!$C$28,1)+COUNTIF('2kob.'!$C$3:'2kob.'!C6,'2kob.'!C6)-1</f>
        <v>22</v>
      </c>
      <c r="C7" s="5" t="str">
        <f>INDEX('2kob.'!B3:G28,MATCH(4,B4:B29,0),1)</f>
        <v xml:space="preserve">tarnobrzeski </v>
      </c>
      <c r="D7" s="6">
        <f>INDEX('2kob.'!B3:G28,MATCH(4,B4:B29,0),2)</f>
        <v>659</v>
      </c>
      <c r="E7" s="61">
        <f>INDEX('2kob.'!B3:G28,MATCH(4,B4:B29,0),3)</f>
        <v>654</v>
      </c>
      <c r="F7" s="6">
        <f>INDEX('2kob.'!B3:G28,MATCH(4,B4:B29,0),4)</f>
        <v>5</v>
      </c>
      <c r="G7" s="61">
        <f>INDEX('2kob.'!B3:G28,MATCH(4,B4:B29,0),5)</f>
        <v>749</v>
      </c>
      <c r="H7" s="6">
        <f>INDEX('2kob.'!B3:G28,MATCH(4,B4:B29,0),6)</f>
        <v>-90</v>
      </c>
    </row>
    <row r="8" spans="2:8" x14ac:dyDescent="0.2">
      <c r="B8" s="6">
        <f>RANK('2kob.'!C7,'2kob.'!$C$3:'2kob.'!$C$28,1)+COUNTIF('2kob.'!$C$3:'2kob.'!C7,'2kob.'!C7)-1</f>
        <v>24</v>
      </c>
      <c r="C8" s="5" t="str">
        <f>INDEX('2kob.'!B3:G28,MATCH(5,B4:B29,0),1)</f>
        <v>leski</v>
      </c>
      <c r="D8" s="6">
        <f>INDEX('2kob.'!B3:G28,MATCH(5,B4:B29,0),2)</f>
        <v>698</v>
      </c>
      <c r="E8" s="61">
        <f>INDEX('2kob.'!B3:G28,MATCH(5,B4:B29,0),3)</f>
        <v>740</v>
      </c>
      <c r="F8" s="6">
        <f>INDEX('2kob.'!B3:G28,MATCH(5,B4:B29,0),4)</f>
        <v>-42</v>
      </c>
      <c r="G8" s="61">
        <f>INDEX('2kob.'!B3:G28,MATCH(5,B4:B29,0),5)</f>
        <v>721</v>
      </c>
      <c r="H8" s="6">
        <f>INDEX('2kob.'!B3:G28,MATCH(5,B4:B29,0),6)</f>
        <v>-23</v>
      </c>
    </row>
    <row r="9" spans="2:8" x14ac:dyDescent="0.2">
      <c r="B9" s="6">
        <f>RANK('2kob.'!C8,'2kob.'!$C$3:'2kob.'!$C$28,1)+COUNTIF('2kob.'!$C$3:'2kob.'!C8,'2kob.'!C8)-1</f>
        <v>7</v>
      </c>
      <c r="C9" s="5" t="str">
        <f>INDEX('2kob.'!B3:G28,MATCH(6,B4:B29,0),1)</f>
        <v>lubaczowski</v>
      </c>
      <c r="D9" s="6">
        <f>INDEX('2kob.'!B3:G28,MATCH(6,B4:B29,0),2)</f>
        <v>762</v>
      </c>
      <c r="E9" s="61">
        <f>INDEX('2kob.'!B3:G28,MATCH(6,B4:B29,0),3)</f>
        <v>720</v>
      </c>
      <c r="F9" s="6">
        <f>INDEX('2kob.'!B3:G28,MATCH(6,B4:B29,0),4)</f>
        <v>42</v>
      </c>
      <c r="G9" s="61">
        <f>INDEX('2kob.'!B3:G28,MATCH(6,B4:B29,0),5)</f>
        <v>768</v>
      </c>
      <c r="H9" s="6">
        <f>INDEX('2kob.'!B3:G28,MATCH(6,B4:B29,0),6)</f>
        <v>-6</v>
      </c>
    </row>
    <row r="10" spans="2:8" x14ac:dyDescent="0.2">
      <c r="B10" s="6">
        <f>RANK('2kob.'!C9,'2kob.'!$C$3:'2kob.'!$C$28,1)+COUNTIF('2kob.'!$C$3:'2kob.'!C9,'2kob.'!C9)-1</f>
        <v>9</v>
      </c>
      <c r="C10" s="9" t="str">
        <f>INDEX('2kob.'!B3:G28,MATCH(7,B4:B29,0),1)</f>
        <v>kolbuszowski</v>
      </c>
      <c r="D10" s="6">
        <f>INDEX('2kob.'!B3:G28,MATCH(7,B4:B29,0),2)</f>
        <v>775</v>
      </c>
      <c r="E10" s="61">
        <f>INDEX('2kob.'!B3:G28,MATCH(7,B4:B29,0),3)</f>
        <v>771</v>
      </c>
      <c r="F10" s="6">
        <f>INDEX('2kob.'!B3:G28,MATCH(7,B4:B29,0),4)</f>
        <v>4</v>
      </c>
      <c r="G10" s="61">
        <f>INDEX('2kob.'!B3:G28,MATCH(7,B4:B29,0),5)</f>
        <v>888</v>
      </c>
      <c r="H10" s="6">
        <f>INDEX('2kob.'!B3:G28,MATCH(7,B4:B29,0),6)</f>
        <v>-113</v>
      </c>
    </row>
    <row r="11" spans="2:8" x14ac:dyDescent="0.2">
      <c r="B11" s="6">
        <f>RANK('2kob.'!C10,'2kob.'!$C$3:'2kob.'!$C$28,1)+COUNTIF('2kob.'!$C$3:'2kob.'!C10,'2kob.'!C10)-1</f>
        <v>5</v>
      </c>
      <c r="C11" s="5" t="str">
        <f>INDEX('2kob.'!B3:G28,MATCH(8,B4:B29,0),1)</f>
        <v>stalowowolski</v>
      </c>
      <c r="D11" s="6">
        <f>INDEX('2kob.'!B3:G28,MATCH(8,B4:B29,0),2)</f>
        <v>1035</v>
      </c>
      <c r="E11" s="61">
        <f>INDEX('2kob.'!B3:G28,MATCH(8,B4:B29,0),3)</f>
        <v>988</v>
      </c>
      <c r="F11" s="6">
        <f>INDEX('2kob.'!B3:G28,MATCH(8,B4:B29,0),4)</f>
        <v>47</v>
      </c>
      <c r="G11" s="61">
        <f>INDEX('2kob.'!B3:G28,MATCH(8,B4:B29,0),5)</f>
        <v>1135</v>
      </c>
      <c r="H11" s="6">
        <f>INDEX('2kob.'!B3:G28,MATCH(8,B4:B29,0),6)</f>
        <v>-100</v>
      </c>
    </row>
    <row r="12" spans="2:8" x14ac:dyDescent="0.2">
      <c r="B12" s="6">
        <f>RANK('2kob.'!C11,'2kob.'!$C$3:'2kob.'!$C$28,1)+COUNTIF('2kob.'!$C$3:'2kob.'!C11,'2kob.'!C11)-1</f>
        <v>17</v>
      </c>
      <c r="C12" s="5" t="str">
        <f>INDEX('2kob.'!B3:G28,MATCH(9,B4:B29,0),1)</f>
        <v>krośnieński</v>
      </c>
      <c r="D12" s="6">
        <f>INDEX('2kob.'!B3:G28,MATCH(9,B4:B29,0),2)</f>
        <v>1147</v>
      </c>
      <c r="E12" s="61">
        <f>INDEX('2kob.'!B3:G28,MATCH(9,B4:B29,0),3)</f>
        <v>1128</v>
      </c>
      <c r="F12" s="6">
        <f>INDEX('2kob.'!B3:G28,MATCH(9,B4:B29,0),4)</f>
        <v>19</v>
      </c>
      <c r="G12" s="61">
        <f>INDEX('2kob.'!B3:G28,MATCH(9,B4:B29,0),5)</f>
        <v>1065</v>
      </c>
      <c r="H12" s="6">
        <f>INDEX('2kob.'!B3:G28,MATCH(9,B4:B29,0),6)</f>
        <v>82</v>
      </c>
    </row>
    <row r="13" spans="2:8" x14ac:dyDescent="0.2">
      <c r="B13" s="6">
        <f>RANK('2kob.'!C12,'2kob.'!$C$3:'2kob.'!$C$28,1)+COUNTIF('2kob.'!$C$3:'2kob.'!C12,'2kob.'!C12)-1</f>
        <v>6</v>
      </c>
      <c r="C13" s="5" t="str">
        <f>INDEX('2kob.'!B3:G28,MATCH(10,B4:B29,0),1)</f>
        <v>Przemyśl</v>
      </c>
      <c r="D13" s="6">
        <f>INDEX('2kob.'!B3:G28,MATCH(10,B4:B29,0),2)</f>
        <v>1178</v>
      </c>
      <c r="E13" s="61">
        <f>INDEX('2kob.'!B3:G28,MATCH(10,B4:B29,0),3)</f>
        <v>1171</v>
      </c>
      <c r="F13" s="6">
        <f>INDEX('2kob.'!B3:G28,MATCH(10,B4:B29,0),4)</f>
        <v>7</v>
      </c>
      <c r="G13" s="61">
        <f>INDEX('2kob.'!B3:G28,MATCH(10,B4:B29,0),5)</f>
        <v>1272</v>
      </c>
      <c r="H13" s="6">
        <f>INDEX('2kob.'!B3:G28,MATCH(10,B4:B29,0),6)</f>
        <v>-94</v>
      </c>
    </row>
    <row r="14" spans="2:8" x14ac:dyDescent="0.2">
      <c r="B14" s="6">
        <f>RANK('2kob.'!C13,'2kob.'!$C$3:'2kob.'!$C$28,1)+COUNTIF('2kob.'!$C$3:'2kob.'!C13,'2kob.'!C13)-1</f>
        <v>11</v>
      </c>
      <c r="C14" s="5" t="str">
        <f>INDEX('2kob.'!B3:G28,MATCH(11,B4:B29,0),1)</f>
        <v>łańcucki</v>
      </c>
      <c r="D14" s="6">
        <f>INDEX('2kob.'!B3:G28,MATCH(11,B4:B29,0),2)</f>
        <v>1260</v>
      </c>
      <c r="E14" s="61">
        <f>INDEX('2kob.'!B3:G28,MATCH(11,B4:B29,0),3)</f>
        <v>1238</v>
      </c>
      <c r="F14" s="6">
        <f>INDEX('2kob.'!B3:G28,MATCH(11,B4:B29,0),4)</f>
        <v>22</v>
      </c>
      <c r="G14" s="61">
        <f>INDEX('2kob.'!B3:G28,MATCH(11,B4:B29,0),5)</f>
        <v>1469</v>
      </c>
      <c r="H14" s="6">
        <f>INDEX('2kob.'!B3:G28,MATCH(11,B4:B29,0),6)</f>
        <v>-209</v>
      </c>
    </row>
    <row r="15" spans="2:8" x14ac:dyDescent="0.2">
      <c r="B15" s="6">
        <f>RANK('2kob.'!C14,'2kob.'!$C$3:'2kob.'!$C$28,1)+COUNTIF('2kob.'!$C$3:'2kob.'!C14,'2kob.'!C14)-1</f>
        <v>16</v>
      </c>
      <c r="C15" s="5" t="str">
        <f>INDEX('2kob.'!B3:G28,MATCH(12,B4:B29,0),1)</f>
        <v>sanocki</v>
      </c>
      <c r="D15" s="6">
        <f>INDEX('2kob.'!B3:G28,MATCH(12,B4:B29,0),2)</f>
        <v>1366</v>
      </c>
      <c r="E15" s="61">
        <f>INDEX('2kob.'!B3:G28,MATCH(12,B4:B29,0),3)</f>
        <v>1342</v>
      </c>
      <c r="F15" s="6">
        <f>INDEX('2kob.'!B3:G28,MATCH(12,B4:B29,0),4)</f>
        <v>24</v>
      </c>
      <c r="G15" s="61">
        <f>INDEX('2kob.'!B3:G28,MATCH(12,B4:B29,0),5)</f>
        <v>1236</v>
      </c>
      <c r="H15" s="6">
        <f>INDEX('2kob.'!B3:G28,MATCH(12,B4:B29,0),6)</f>
        <v>130</v>
      </c>
    </row>
    <row r="16" spans="2:8" x14ac:dyDescent="0.2">
      <c r="B16" s="6">
        <f>RANK('2kob.'!C15,'2kob.'!$C$3:'2kob.'!$C$28,1)+COUNTIF('2kob.'!$C$3:'2kob.'!C15,'2kob.'!C15)-1</f>
        <v>18</v>
      </c>
      <c r="C16" s="5" t="str">
        <f>INDEX('2kob.'!B3:G28,MATCH(13,B4:B29,0),1)</f>
        <v>ropczycko-sędziszowski</v>
      </c>
      <c r="D16" s="6">
        <f>INDEX('2kob.'!B3:G28,MATCH(13,B4:B29,0),2)</f>
        <v>1402</v>
      </c>
      <c r="E16" s="61">
        <f>INDEX('2kob.'!B3:G28,MATCH(13,B4:B29,0),3)</f>
        <v>1390</v>
      </c>
      <c r="F16" s="6">
        <f>INDEX('2kob.'!B3:G28,MATCH(13,B4:B29,0),4)</f>
        <v>12</v>
      </c>
      <c r="G16" s="61">
        <f>INDEX('2kob.'!B3:G28,MATCH(13,B4:B29,0),5)</f>
        <v>1656</v>
      </c>
      <c r="H16" s="6">
        <f>INDEX('2kob.'!B3:G28,MATCH(13,B4:B29,0),6)</f>
        <v>-254</v>
      </c>
    </row>
    <row r="17" spans="2:8" x14ac:dyDescent="0.2">
      <c r="B17" s="6">
        <f>RANK('2kob.'!C16,'2kob.'!$C$3:'2kob.'!$C$28,1)+COUNTIF('2kob.'!$C$3:'2kob.'!C16,'2kob.'!C16)-1</f>
        <v>14</v>
      </c>
      <c r="C17" s="5" t="str">
        <f>INDEX('2kob.'!B3:G28,MATCH(14,B4:B29,0),1)</f>
        <v>przemyski</v>
      </c>
      <c r="D17" s="6">
        <f>INDEX('2kob.'!B3:G28,MATCH(14,B4:B29,0),2)</f>
        <v>1450</v>
      </c>
      <c r="E17" s="61">
        <f>INDEX('2kob.'!B3:G28,MATCH(14,B4:B29,0),3)</f>
        <v>1448</v>
      </c>
      <c r="F17" s="6">
        <f>INDEX('2kob.'!B3:G28,MATCH(14,B4:B29,0),4)</f>
        <v>2</v>
      </c>
      <c r="G17" s="61">
        <f>INDEX('2kob.'!B3:G28,MATCH(14,B4:B29,0),5)</f>
        <v>1615</v>
      </c>
      <c r="H17" s="6">
        <f>INDEX('2kob.'!B3:G28,MATCH(14,B4:B29,0),6)</f>
        <v>-165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dębicki</v>
      </c>
      <c r="D18" s="6">
        <f>INDEX('2kob.'!B3:G28,MATCH(15,B4:B29,0),2)</f>
        <v>1461</v>
      </c>
      <c r="E18" s="61">
        <f>INDEX('2kob.'!B3:G28,MATCH(15,B4:B29,0),3)</f>
        <v>1438</v>
      </c>
      <c r="F18" s="6">
        <f>INDEX('2kob.'!B3:G28,MATCH(15,B4:B29,0),4)</f>
        <v>23</v>
      </c>
      <c r="G18" s="61">
        <f>INDEX('2kob.'!B3:G28,MATCH(15,B4:B29,0),5)</f>
        <v>1559</v>
      </c>
      <c r="H18" s="6">
        <f>INDEX('2kob.'!B3:G28,MATCH(15,B4:B29,0),6)</f>
        <v>-98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mielecki</v>
      </c>
      <c r="D19" s="6">
        <f>INDEX('2kob.'!B3:G28,MATCH(16,B4:B29,0),2)</f>
        <v>1462</v>
      </c>
      <c r="E19" s="61">
        <f>INDEX('2kob.'!B3:G28,MATCH(16,B4:B29,0),3)</f>
        <v>1425</v>
      </c>
      <c r="F19" s="6">
        <f>INDEX('2kob.'!B3:G28,MATCH(16,B4:B29,0),4)</f>
        <v>37</v>
      </c>
      <c r="G19" s="61">
        <f>INDEX('2kob.'!B3:G28,MATCH(16,B4:B29,0),5)</f>
        <v>1412</v>
      </c>
      <c r="H19" s="6">
        <f>INDEX('2kob.'!B3:G28,MATCH(16,B4:B29,0),6)</f>
        <v>50</v>
      </c>
    </row>
    <row r="20" spans="2:8" x14ac:dyDescent="0.2">
      <c r="B20" s="6">
        <f>RANK('2kob.'!C19,'2kob.'!$C$3:'2kob.'!$C$28,1)+COUNTIF('2kob.'!$C$3:'2kob.'!C19,'2kob.'!C19)-1</f>
        <v>23</v>
      </c>
      <c r="C20" s="5" t="str">
        <f>INDEX('2kob.'!B3:G28,MATCH(17,B4:B29,0),1)</f>
        <v>leżajski</v>
      </c>
      <c r="D20" s="6">
        <f>INDEX('2kob.'!B3:G28,MATCH(17,B4:B29,0),2)</f>
        <v>1559</v>
      </c>
      <c r="E20" s="61">
        <f>INDEX('2kob.'!B3:G28,MATCH(17,B4:B29,0),3)</f>
        <v>1542</v>
      </c>
      <c r="F20" s="6">
        <f>INDEX('2kob.'!B3:G28,MATCH(17,B4:B29,0),4)</f>
        <v>17</v>
      </c>
      <c r="G20" s="61">
        <f>INDEX('2kob.'!B3:G28,MATCH(17,B4:B29,0),5)</f>
        <v>1643</v>
      </c>
      <c r="H20" s="6">
        <f>INDEX('2kob.'!B3:G28,MATCH(17,B4:B29,0),6)</f>
        <v>-84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niżański</v>
      </c>
      <c r="D21" s="6">
        <f>INDEX('2kob.'!B3:G28,MATCH(18,B4:B29,0),2)</f>
        <v>1579</v>
      </c>
      <c r="E21" s="61">
        <f>INDEX('2kob.'!B3:G28,MATCH(18,B4:B29,0),3)</f>
        <v>1548</v>
      </c>
      <c r="F21" s="6">
        <f>INDEX('2kob.'!B3:G28,MATCH(18,B4:B29,0),4)</f>
        <v>31</v>
      </c>
      <c r="G21" s="61">
        <f>INDEX('2kob.'!B3:G28,MATCH(18,B4:B29,0),5)</f>
        <v>1669</v>
      </c>
      <c r="H21" s="6">
        <f>INDEX('2kob.'!B3:G28,MATCH(18,B4:B29,0),6)</f>
        <v>-90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strzyżowski</v>
      </c>
      <c r="D22" s="6">
        <f>INDEX('2kob.'!B3:G28,MATCH(19,B4:B29,0),2)</f>
        <v>1596</v>
      </c>
      <c r="E22" s="61">
        <f>INDEX('2kob.'!B3:G28,MATCH(19,B4:B29,0),3)</f>
        <v>1594</v>
      </c>
      <c r="F22" s="6">
        <f>INDEX('2kob.'!B3:G28,MATCH(19,B4:B29,0),4)</f>
        <v>2</v>
      </c>
      <c r="G22" s="61">
        <f>INDEX('2kob.'!B3:G28,MATCH(19,B4:B29,0),5)</f>
        <v>1735</v>
      </c>
      <c r="H22" s="6">
        <f>INDEX('2kob.'!B3:G28,MATCH(19,B4:B29,0),6)</f>
        <v>-139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1791</v>
      </c>
      <c r="E23" s="61">
        <f>INDEX('2kob.'!B3:G28,MATCH(20,B4:B29,0),3)</f>
        <v>1720</v>
      </c>
      <c r="F23" s="6">
        <f>INDEX('2kob.'!B3:G28,MATCH(20,B4:B29,0),4)</f>
        <v>71</v>
      </c>
      <c r="G23" s="61">
        <f>INDEX('2kob.'!B3:G28,MATCH(20,B4:B29,0),5)</f>
        <v>2021</v>
      </c>
      <c r="H23" s="6">
        <f>INDEX('2kob.'!B3:G28,MATCH(20,B4:B29,0),6)</f>
        <v>-230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1942</v>
      </c>
      <c r="E24" s="61">
        <f>INDEX('2kob.'!B3:G28,MATCH(21,B4:B29,0),3)</f>
        <v>1886</v>
      </c>
      <c r="F24" s="6">
        <f>INDEX('2kob.'!B3:G28,MATCH(21,B4:B29,0),4)</f>
        <v>56</v>
      </c>
      <c r="G24" s="61">
        <f>INDEX('2kob.'!B3:G28,MATCH(21,B4:B29,0),5)</f>
        <v>2111</v>
      </c>
      <c r="H24" s="6">
        <f>INDEX('2kob.'!B3:G28,MATCH(21,B4:B29,0),6)</f>
        <v>-169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jarosławski</v>
      </c>
      <c r="D25" s="6">
        <f>INDEX('2kob.'!B3:G28,MATCH(22,B4:B29,0),2)</f>
        <v>2245</v>
      </c>
      <c r="E25" s="61">
        <f>INDEX('2kob.'!B3:G28,MATCH(22,B4:B29,0),3)</f>
        <v>2245</v>
      </c>
      <c r="F25" s="6">
        <f>INDEX('2kob.'!B3:G28,MATCH(22,B4:B29,0),4)</f>
        <v>0</v>
      </c>
      <c r="G25" s="61">
        <f>INDEX('2kob.'!B3:G28,MATCH(22,B4:B29,0),5)</f>
        <v>2564</v>
      </c>
      <c r="H25" s="6">
        <f>INDEX('2kob.'!B3:G28,MATCH(22,B4:B29,0),6)</f>
        <v>-319</v>
      </c>
    </row>
    <row r="26" spans="2:8" x14ac:dyDescent="0.2">
      <c r="B26" s="6">
        <f>RANK('2kob.'!C25,'2kob.'!$C$3:'2kob.'!$C$28,1)+COUNTIF('2kob.'!$C$3:'2kob.'!C25,'2kob.'!C25)-1</f>
        <v>10</v>
      </c>
      <c r="C26" s="5" t="str">
        <f>INDEX('2kob.'!B3:G28,MATCH(23,B4:B29,0),1)</f>
        <v>rzeszowski</v>
      </c>
      <c r="D26" s="6">
        <f>INDEX('2kob.'!B3:G28,MATCH(23,B4:B29,0),2)</f>
        <v>2329</v>
      </c>
      <c r="E26" s="61">
        <f>INDEX('2kob.'!B3:G28,MATCH(23,B4:B29,0),3)</f>
        <v>2293</v>
      </c>
      <c r="F26" s="6">
        <f>INDEX('2kob.'!B3:G28,MATCH(23,B4:B29,0),4)</f>
        <v>36</v>
      </c>
      <c r="G26" s="61">
        <f>INDEX('2kob.'!B3:G28,MATCH(23,B4:B29,0),5)</f>
        <v>2527</v>
      </c>
      <c r="H26" s="6">
        <f>INDEX('2kob.'!B3:G28,MATCH(23,B4:B29,0),6)</f>
        <v>-198</v>
      </c>
    </row>
    <row r="27" spans="2:8" x14ac:dyDescent="0.2">
      <c r="B27" s="6">
        <f>RANK('2kob.'!C26,'2kob.'!$C$3:'2kob.'!$C$28,1)+COUNTIF('2kob.'!$C$3:'2kob.'!C26,'2kob.'!C26)-1</f>
        <v>25</v>
      </c>
      <c r="C27" s="5" t="str">
        <f>INDEX('2kob.'!B3:G28,MATCH(24,B4:B29,0),1)</f>
        <v>jasielski</v>
      </c>
      <c r="D27" s="6">
        <f>INDEX('2kob.'!B3:G28,MATCH(24,B4:B29,0),2)</f>
        <v>2718</v>
      </c>
      <c r="E27" s="61">
        <f>INDEX('2kob.'!B3:G28,MATCH(24,B4:B29,0),3)</f>
        <v>2696</v>
      </c>
      <c r="F27" s="6">
        <f>INDEX('2kob.'!B3:G28,MATCH(24,B4:B29,0),4)</f>
        <v>22</v>
      </c>
      <c r="G27" s="61">
        <f>INDEX('2kob.'!B3:G28,MATCH(24,B4:B29,0),5)</f>
        <v>2839</v>
      </c>
      <c r="H27" s="6">
        <f>INDEX('2kob.'!B3:G28,MATCH(24,B4:B29,0),6)</f>
        <v>-121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Rzeszów</v>
      </c>
      <c r="D28" s="6">
        <f>INDEX('2kob.'!B3:G28,MATCH(25,B4:B29,0),2)</f>
        <v>2752</v>
      </c>
      <c r="E28" s="61">
        <f>INDEX('2kob.'!B3:G28,MATCH(25,B4:B29,0),3)</f>
        <v>2721</v>
      </c>
      <c r="F28" s="6">
        <f>INDEX('2kob.'!B3:G28,MATCH(25,B4:B29,0),4)</f>
        <v>31</v>
      </c>
      <c r="G28" s="61">
        <f>INDEX('2kob.'!B3:G28,MATCH(25,B4:B29,0),5)</f>
        <v>3075</v>
      </c>
      <c r="H28" s="6">
        <f>INDEX('2kob.'!B3:G28,MATCH(25,B4:B29,0),6)</f>
        <v>-323</v>
      </c>
    </row>
    <row r="29" spans="2:8" ht="15" x14ac:dyDescent="0.25">
      <c r="B29" s="59">
        <f>RANK('2kob.'!C28,'2kob.'!$C$3:'2kob.'!$C$28,1)+COUNTIF('2kob.'!$C$3:'2kob.'!C28,'2kob.'!C28)-1</f>
        <v>26</v>
      </c>
      <c r="C29" s="58" t="str">
        <f>INDEX('2kob.'!B3:G28,MATCH(26,B4:B29,0),1)</f>
        <v>województwo</v>
      </c>
      <c r="D29" s="59">
        <f>INDEX('2kob.'!B3:G28,MATCH(26,B4:B29,0),2)</f>
        <v>34612</v>
      </c>
      <c r="E29" s="63">
        <f>INDEX('2kob.'!B3:G28,MATCH(26,B4:B29,0),3)</f>
        <v>34104</v>
      </c>
      <c r="F29" s="59">
        <f>INDEX('2kob.'!B3:G28,MATCH(26,B4:B29,0),4)</f>
        <v>508</v>
      </c>
      <c r="G29" s="63">
        <f>INDEX('2kob.'!B3:G28,MATCH(26,B4:B29,0),5)</f>
        <v>37292</v>
      </c>
      <c r="H29" s="59">
        <f>INDEX('2kob.'!B3:G28,MATCH(26,B4:B29,0),6)</f>
        <v>-2680</v>
      </c>
    </row>
  </sheetData>
  <pageMargins left="0" right="0" top="0.31496062992125984" bottom="0" header="0" footer="0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  <pageSetUpPr fitToPage="1"/>
  </sheetPr>
  <dimension ref="A1:H22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3.42578125" style="3" customWidth="1"/>
    <col min="3" max="4" width="16" style="3" customWidth="1"/>
    <col min="5" max="5" width="15.28515625" style="3" customWidth="1"/>
    <col min="6" max="6" width="16.140625" style="3" customWidth="1"/>
    <col min="7" max="7" width="14.7109375" style="3" customWidth="1"/>
    <col min="8" max="8" width="9.140625" style="25"/>
    <col min="9" max="16384" width="9.140625" style="3"/>
  </cols>
  <sheetData>
    <row r="1" spans="1:8" ht="15" customHeight="1" x14ac:dyDescent="0.2">
      <c r="B1" s="2" t="s">
        <v>89</v>
      </c>
    </row>
    <row r="2" spans="1:8" ht="71.25" x14ac:dyDescent="0.2">
      <c r="B2" s="65" t="s">
        <v>27</v>
      </c>
      <c r="C2" s="65" t="s">
        <v>131</v>
      </c>
      <c r="D2" s="66" t="s">
        <v>120</v>
      </c>
      <c r="E2" s="65" t="s">
        <v>81</v>
      </c>
      <c r="F2" s="66" t="s">
        <v>132</v>
      </c>
      <c r="G2" s="65" t="s">
        <v>82</v>
      </c>
    </row>
    <row r="3" spans="1:8" ht="15" x14ac:dyDescent="0.2">
      <c r="A3" s="25">
        <v>1</v>
      </c>
      <c r="B3" s="26" t="s">
        <v>33</v>
      </c>
      <c r="C3" s="27">
        <v>5</v>
      </c>
      <c r="D3" s="27">
        <v>5</v>
      </c>
      <c r="E3" s="27">
        <f t="shared" ref="E3:E19" si="0">SUM(C3)-D3</f>
        <v>0</v>
      </c>
      <c r="F3" s="68">
        <v>5.2</v>
      </c>
      <c r="G3" s="27">
        <f t="shared" ref="G3:G19" si="1">SUM(C3)-F3</f>
        <v>-0.20000000000000018</v>
      </c>
      <c r="H3" s="28"/>
    </row>
    <row r="4" spans="1:8" x14ac:dyDescent="0.2">
      <c r="A4" s="25">
        <v>2</v>
      </c>
      <c r="B4" s="29" t="s">
        <v>34</v>
      </c>
      <c r="C4" s="30">
        <v>4.4000000000000004</v>
      </c>
      <c r="D4" s="30">
        <v>4.4000000000000004</v>
      </c>
      <c r="E4" s="30">
        <f t="shared" si="0"/>
        <v>0</v>
      </c>
      <c r="F4" s="67">
        <v>4.5</v>
      </c>
      <c r="G4" s="30">
        <f t="shared" si="1"/>
        <v>-9.9999999999999645E-2</v>
      </c>
      <c r="H4" s="28"/>
    </row>
    <row r="5" spans="1:8" x14ac:dyDescent="0.2">
      <c r="A5" s="25">
        <v>3</v>
      </c>
      <c r="B5" s="29" t="s">
        <v>35</v>
      </c>
      <c r="C5" s="31">
        <v>7</v>
      </c>
      <c r="D5" s="31">
        <v>7.1</v>
      </c>
      <c r="E5" s="31">
        <f t="shared" si="0"/>
        <v>-9.9999999999999645E-2</v>
      </c>
      <c r="F5" s="67">
        <v>7.2</v>
      </c>
      <c r="G5" s="30">
        <f t="shared" si="1"/>
        <v>-0.20000000000000018</v>
      </c>
      <c r="H5" s="28"/>
    </row>
    <row r="6" spans="1:8" x14ac:dyDescent="0.2">
      <c r="A6" s="25">
        <v>4</v>
      </c>
      <c r="B6" s="29" t="s">
        <v>36</v>
      </c>
      <c r="C6" s="30">
        <v>7.5</v>
      </c>
      <c r="D6" s="30">
        <v>7.5</v>
      </c>
      <c r="E6" s="30">
        <f t="shared" si="0"/>
        <v>0</v>
      </c>
      <c r="F6" s="67">
        <v>8</v>
      </c>
      <c r="G6" s="30">
        <f t="shared" si="1"/>
        <v>-0.5</v>
      </c>
      <c r="H6" s="28"/>
    </row>
    <row r="7" spans="1:8" x14ac:dyDescent="0.2">
      <c r="A7" s="25">
        <v>5</v>
      </c>
      <c r="B7" s="29" t="s">
        <v>37</v>
      </c>
      <c r="C7" s="30">
        <v>4.2</v>
      </c>
      <c r="D7" s="30">
        <v>4.2</v>
      </c>
      <c r="E7" s="30">
        <f t="shared" si="0"/>
        <v>0</v>
      </c>
      <c r="F7" s="67">
        <v>4.3</v>
      </c>
      <c r="G7" s="30">
        <f t="shared" si="1"/>
        <v>-9.9999999999999645E-2</v>
      </c>
      <c r="H7" s="28"/>
    </row>
    <row r="8" spans="1:8" x14ac:dyDescent="0.2">
      <c r="A8" s="25">
        <v>6</v>
      </c>
      <c r="B8" s="29" t="s">
        <v>38</v>
      </c>
      <c r="C8" s="30">
        <v>5.5</v>
      </c>
      <c r="D8" s="30">
        <v>5.5</v>
      </c>
      <c r="E8" s="30">
        <f t="shared" si="0"/>
        <v>0</v>
      </c>
      <c r="F8" s="67">
        <v>5.8</v>
      </c>
      <c r="G8" s="30">
        <f t="shared" si="1"/>
        <v>-0.29999999999999982</v>
      </c>
      <c r="H8" s="28"/>
    </row>
    <row r="9" spans="1:8" x14ac:dyDescent="0.2">
      <c r="A9" s="25">
        <v>7</v>
      </c>
      <c r="B9" s="29" t="s">
        <v>39</v>
      </c>
      <c r="C9" s="30">
        <v>4.4000000000000004</v>
      </c>
      <c r="D9" s="30">
        <v>4.3</v>
      </c>
      <c r="E9" s="30">
        <f t="shared" si="0"/>
        <v>0.10000000000000053</v>
      </c>
      <c r="F9" s="67">
        <v>4.5</v>
      </c>
      <c r="G9" s="30">
        <f t="shared" si="1"/>
        <v>-9.9999999999999645E-2</v>
      </c>
      <c r="H9" s="28"/>
    </row>
    <row r="10" spans="1:8" x14ac:dyDescent="0.2">
      <c r="A10" s="25">
        <v>8</v>
      </c>
      <c r="B10" s="29" t="s">
        <v>40</v>
      </c>
      <c r="C10" s="30">
        <v>4</v>
      </c>
      <c r="D10" s="30">
        <v>4</v>
      </c>
      <c r="E10" s="30">
        <f t="shared" si="0"/>
        <v>0</v>
      </c>
      <c r="F10" s="67">
        <v>4.3</v>
      </c>
      <c r="G10" s="30">
        <f t="shared" si="1"/>
        <v>-0.29999999999999982</v>
      </c>
      <c r="H10" s="28"/>
    </row>
    <row r="11" spans="1:8" x14ac:dyDescent="0.2">
      <c r="A11" s="25">
        <v>9</v>
      </c>
      <c r="B11" s="29" t="s">
        <v>41</v>
      </c>
      <c r="C11" s="30">
        <v>6.1</v>
      </c>
      <c r="D11" s="30">
        <v>6.1</v>
      </c>
      <c r="E11" s="30">
        <f t="shared" si="0"/>
        <v>0</v>
      </c>
      <c r="F11" s="67">
        <v>5.9</v>
      </c>
      <c r="G11" s="30">
        <f t="shared" si="1"/>
        <v>0.19999999999999929</v>
      </c>
      <c r="H11" s="28"/>
    </row>
    <row r="12" spans="1:8" ht="15" x14ac:dyDescent="0.2">
      <c r="A12" s="25">
        <v>10</v>
      </c>
      <c r="B12" s="26" t="s">
        <v>42</v>
      </c>
      <c r="C12" s="27">
        <v>8.4</v>
      </c>
      <c r="D12" s="27">
        <v>8.4</v>
      </c>
      <c r="E12" s="27">
        <f t="shared" si="0"/>
        <v>0</v>
      </c>
      <c r="F12" s="68">
        <v>8.8000000000000007</v>
      </c>
      <c r="G12" s="27">
        <f t="shared" si="1"/>
        <v>-0.40000000000000036</v>
      </c>
      <c r="H12" s="28"/>
    </row>
    <row r="13" spans="1:8" x14ac:dyDescent="0.2">
      <c r="A13" s="25">
        <v>11</v>
      </c>
      <c r="B13" s="29" t="s">
        <v>43</v>
      </c>
      <c r="C13" s="30">
        <v>7.1</v>
      </c>
      <c r="D13" s="30">
        <v>7.1</v>
      </c>
      <c r="E13" s="30">
        <f t="shared" si="0"/>
        <v>0</v>
      </c>
      <c r="F13" s="67">
        <v>7.2</v>
      </c>
      <c r="G13" s="30">
        <f t="shared" si="1"/>
        <v>-0.10000000000000053</v>
      </c>
      <c r="H13" s="28"/>
    </row>
    <row r="14" spans="1:8" x14ac:dyDescent="0.2">
      <c r="A14" s="25">
        <v>12</v>
      </c>
      <c r="B14" s="29" t="s">
        <v>44</v>
      </c>
      <c r="C14" s="30">
        <v>4.4000000000000004</v>
      </c>
      <c r="D14" s="30">
        <v>4.5</v>
      </c>
      <c r="E14" s="30">
        <f t="shared" si="0"/>
        <v>-9.9999999999999645E-2</v>
      </c>
      <c r="F14" s="67">
        <v>4.4000000000000004</v>
      </c>
      <c r="G14" s="30">
        <f t="shared" si="1"/>
        <v>0</v>
      </c>
      <c r="H14" s="28"/>
    </row>
    <row r="15" spans="1:8" x14ac:dyDescent="0.2">
      <c r="A15" s="25">
        <v>13</v>
      </c>
      <c r="B15" s="29" t="s">
        <v>45</v>
      </c>
      <c r="C15" s="30">
        <v>3.6</v>
      </c>
      <c r="D15" s="30">
        <v>3.6</v>
      </c>
      <c r="E15" s="30">
        <f t="shared" si="0"/>
        <v>0</v>
      </c>
      <c r="F15" s="67">
        <v>3.9</v>
      </c>
      <c r="G15" s="30">
        <f t="shared" si="1"/>
        <v>-0.29999999999999982</v>
      </c>
      <c r="H15" s="28"/>
    </row>
    <row r="16" spans="1:8" x14ac:dyDescent="0.2">
      <c r="A16" s="25">
        <v>14</v>
      </c>
      <c r="B16" s="29" t="s">
        <v>46</v>
      </c>
      <c r="C16" s="30">
        <v>7.6</v>
      </c>
      <c r="D16" s="30">
        <v>7.6</v>
      </c>
      <c r="E16" s="30">
        <f t="shared" si="0"/>
        <v>0</v>
      </c>
      <c r="F16" s="67">
        <v>7.7</v>
      </c>
      <c r="G16" s="30">
        <f t="shared" si="1"/>
        <v>-0.10000000000000053</v>
      </c>
      <c r="H16" s="28"/>
    </row>
    <row r="17" spans="1:8" x14ac:dyDescent="0.2">
      <c r="A17" s="25">
        <v>15</v>
      </c>
      <c r="B17" s="29" t="s">
        <v>47</v>
      </c>
      <c r="C17" s="30">
        <v>8.1999999999999993</v>
      </c>
      <c r="D17" s="30">
        <v>8.3000000000000007</v>
      </c>
      <c r="E17" s="30">
        <f t="shared" si="0"/>
        <v>-0.10000000000000142</v>
      </c>
      <c r="F17" s="67">
        <v>8</v>
      </c>
      <c r="G17" s="30">
        <f t="shared" si="1"/>
        <v>0.19999999999999929</v>
      </c>
      <c r="H17" s="28"/>
    </row>
    <row r="18" spans="1:8" x14ac:dyDescent="0.2">
      <c r="A18" s="25">
        <v>16</v>
      </c>
      <c r="B18" s="29" t="s">
        <v>48</v>
      </c>
      <c r="C18" s="30">
        <v>2.9</v>
      </c>
      <c r="D18" s="30">
        <v>2.9</v>
      </c>
      <c r="E18" s="30">
        <f t="shared" si="0"/>
        <v>0</v>
      </c>
      <c r="F18" s="67">
        <v>2.8</v>
      </c>
      <c r="G18" s="30">
        <f t="shared" si="1"/>
        <v>0.10000000000000009</v>
      </c>
      <c r="H18" s="28"/>
    </row>
    <row r="19" spans="1:8" x14ac:dyDescent="0.2">
      <c r="A19" s="25">
        <v>17</v>
      </c>
      <c r="B19" s="29" t="s">
        <v>49</v>
      </c>
      <c r="C19" s="30">
        <v>6.3</v>
      </c>
      <c r="D19" s="30">
        <v>6.4</v>
      </c>
      <c r="E19" s="30">
        <f t="shared" si="0"/>
        <v>-0.10000000000000053</v>
      </c>
      <c r="F19" s="67">
        <v>6.5</v>
      </c>
      <c r="G19" s="30">
        <f t="shared" si="1"/>
        <v>-0.20000000000000018</v>
      </c>
      <c r="H19" s="28"/>
    </row>
    <row r="20" spans="1:8" ht="12.75" customHeight="1" x14ac:dyDescent="0.2">
      <c r="B20" s="52" t="s">
        <v>102</v>
      </c>
    </row>
    <row r="21" spans="1:8" ht="13.5" customHeight="1" x14ac:dyDescent="0.2">
      <c r="B21" s="52"/>
    </row>
    <row r="22" spans="1:8" x14ac:dyDescent="0.2">
      <c r="B22" s="53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3" customWidth="1"/>
    <col min="2" max="2" width="8.140625" style="3" customWidth="1"/>
    <col min="3" max="3" width="28" style="3" customWidth="1"/>
    <col min="4" max="4" width="14.28515625" style="3" customWidth="1"/>
    <col min="5" max="5" width="13.28515625" style="3" customWidth="1"/>
    <col min="6" max="6" width="18.42578125" style="3" customWidth="1"/>
    <col min="7" max="7" width="13.140625" style="3" customWidth="1"/>
    <col min="8" max="8" width="16.710937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89</v>
      </c>
    </row>
    <row r="2" spans="1:8" ht="15" x14ac:dyDescent="0.2">
      <c r="C2" s="20"/>
      <c r="D2" s="21"/>
    </row>
    <row r="3" spans="1:8" ht="71.25" x14ac:dyDescent="0.2">
      <c r="B3" s="62" t="s">
        <v>88</v>
      </c>
      <c r="C3" s="55" t="str">
        <f>T('3s.bezr.Pol'!B2)</f>
        <v>powiaty</v>
      </c>
      <c r="D3" s="55" t="str">
        <f>T('3s.bezr.Pol'!C2)</f>
        <v>Stopa bezrobocia stan na 31 VII '23 r. (w proc.)*</v>
      </c>
      <c r="E3" s="55" t="str">
        <f>T('3s.bezr.Pol'!D2)</f>
        <v>Stopa bezrobocia stan na 30 VI '23 r. (w proc.)*</v>
      </c>
      <c r="F3" s="66" t="str">
        <f>T('3s.bezr.Pol'!E2)</f>
        <v>wzrost lub spadek do poprzedniego miesiąca (pkt. proc.)</v>
      </c>
      <c r="G3" s="55" t="str">
        <f>T('3s.bezr.Pol'!F2)</f>
        <v>Stopa bezrobocia stan na 31 VII '22 r. (w proc.)*</v>
      </c>
      <c r="H3" s="66" t="str">
        <f>T('3s.bezr.Pol'!G2)</f>
        <v>wzrost lub spadek do analogicznego okresu ubr. (pkt. proc.)</v>
      </c>
    </row>
    <row r="4" spans="1:8" x14ac:dyDescent="0.2">
      <c r="A4" s="3">
        <v>1</v>
      </c>
      <c r="B4" s="6">
        <f>RANK('3s.bezr.Pol'!C3,'3s.bezr.Pol'!$C$3:'3s.bezr.Pol'!$C$19,1)+COUNTIF('3s.bezr.Pol'!$C$3:'3s.bezr.Pol'!C3,'3s.bezr.Pol'!C3)-1</f>
        <v>8</v>
      </c>
      <c r="C4" s="5" t="str">
        <f>INDEX('3s.bezr.Pol'!B3:G19,MATCH(1,B4:B20,0),1)</f>
        <v>WIELKOPOLSKIE</v>
      </c>
      <c r="D4" s="28">
        <f>INDEX('3s.bezr.Pol'!B3:G19,MATCH(1,B4:B20,0),2)</f>
        <v>2.9</v>
      </c>
      <c r="E4" s="31">
        <f>INDEX('3s.bezr.Pol'!B3:G19,MATCH(1,B4:B20,0),3)</f>
        <v>2.9</v>
      </c>
      <c r="F4" s="67">
        <f>INDEX('3s.bezr.Pol'!B3:G19,MATCH(1,B4:B20,0),4)</f>
        <v>0</v>
      </c>
      <c r="G4" s="31">
        <f>INDEX('3s.bezr.Pol'!B3:G19,MATCH(1,B4:B20,0),5)</f>
        <v>2.8</v>
      </c>
      <c r="H4" s="67">
        <f>INDEX('3s.bezr.Pol'!B3:G19,MATCH(1,B4:B20,0),6)</f>
        <v>0.10000000000000009</v>
      </c>
    </row>
    <row r="5" spans="1:8" x14ac:dyDescent="0.2">
      <c r="A5" s="3">
        <v>2</v>
      </c>
      <c r="B5" s="6">
        <f>RANK('3s.bezr.Pol'!C4,'3s.bezr.Pol'!$C$3:'3s.bezr.Pol'!$C$19,1)+COUNTIF('3s.bezr.Pol'!$C$3:'3s.bezr.Pol'!C4,'3s.bezr.Pol'!C4)-1</f>
        <v>5</v>
      </c>
      <c r="C5" s="5" t="str">
        <f>INDEX('3s.bezr.Pol'!B3:G19,MATCH(2,B4:B20,0),1)</f>
        <v>ŚLĄSKIE</v>
      </c>
      <c r="D5" s="8">
        <f>INDEX('3s.bezr.Pol'!B3:G19,MATCH(2,B4:B20,0),2)</f>
        <v>3.6</v>
      </c>
      <c r="E5" s="31">
        <f>INDEX('3s.bezr.Pol'!B3:G19,MATCH(2,B4:B20,0),3)</f>
        <v>3.6</v>
      </c>
      <c r="F5" s="67">
        <f>INDEX('3s.bezr.Pol'!B3:G19,MATCH(2,B4:B20,0),4)</f>
        <v>0</v>
      </c>
      <c r="G5" s="31">
        <f>INDEX('3s.bezr.Pol'!B3:G19,MATCH(2,B4:B20,0),5)</f>
        <v>3.9</v>
      </c>
      <c r="H5" s="67">
        <f>INDEX('3s.bezr.Pol'!B3:G19,MATCH(2,B4:B20,0),6)</f>
        <v>-0.29999999999999982</v>
      </c>
    </row>
    <row r="6" spans="1:8" x14ac:dyDescent="0.2">
      <c r="A6" s="3">
        <v>3</v>
      </c>
      <c r="B6" s="6">
        <f>RANK('3s.bezr.Pol'!C5,'3s.bezr.Pol'!$C$3:'3s.bezr.Pol'!$C$19,1)+COUNTIF('3s.bezr.Pol'!$C$3:'3s.bezr.Pol'!C5,'3s.bezr.Pol'!C5)-1</f>
        <v>12</v>
      </c>
      <c r="C6" s="5" t="str">
        <f>INDEX('3s.bezr.Pol'!B3:G19,MATCH(3,B4:B20,0),1)</f>
        <v>MAZOWIECKIE</v>
      </c>
      <c r="D6" s="8">
        <f>INDEX('3s.bezr.Pol'!B3:G19,MATCH(3,B4:B20,0),2)</f>
        <v>4</v>
      </c>
      <c r="E6" s="31">
        <f>INDEX('3s.bezr.Pol'!B3:G19,MATCH(3,B4:B20,0),3)</f>
        <v>4</v>
      </c>
      <c r="F6" s="67">
        <f>INDEX('3s.bezr.Pol'!B3:G19,MATCH(3,B4:B20,0),4)</f>
        <v>0</v>
      </c>
      <c r="G6" s="31">
        <f>INDEX('3s.bezr.Pol'!B3:G19,MATCH(3,B4:B20,0),5)</f>
        <v>4.3</v>
      </c>
      <c r="H6" s="67">
        <f>INDEX('3s.bezr.Pol'!B3:G19,MATCH(3,B4:B20,0),6)</f>
        <v>-0.29999999999999982</v>
      </c>
    </row>
    <row r="7" spans="1:8" x14ac:dyDescent="0.2">
      <c r="A7" s="3">
        <v>4</v>
      </c>
      <c r="B7" s="6">
        <f>RANK('3s.bezr.Pol'!C6,'3s.bezr.Pol'!$C$3:'3s.bezr.Pol'!$C$19,1)+COUNTIF('3s.bezr.Pol'!$C$3:'3s.bezr.Pol'!C6,'3s.bezr.Pol'!C6)-1</f>
        <v>14</v>
      </c>
      <c r="C7" s="5" t="str">
        <f>INDEX('3s.bezr.Pol'!B3:G19,MATCH(4,B4:B20,0),1)</f>
        <v>LUBUSKIE</v>
      </c>
      <c r="D7" s="8">
        <f>INDEX('3s.bezr.Pol'!B3:G19,MATCH(4,B4:B20,0),2)</f>
        <v>4.2</v>
      </c>
      <c r="E7" s="31">
        <f>INDEX('3s.bezr.Pol'!B3:G19,MATCH(4,B4:B20,0),3)</f>
        <v>4.2</v>
      </c>
      <c r="F7" s="67">
        <f>INDEX('3s.bezr.Pol'!B3:G19,MATCH(4,B4:B20,0),4)</f>
        <v>0</v>
      </c>
      <c r="G7" s="31">
        <f>INDEX('3s.bezr.Pol'!B3:G19,MATCH(4,B4:B20,0),5)</f>
        <v>4.3</v>
      </c>
      <c r="H7" s="67">
        <f>INDEX('3s.bezr.Pol'!B3:G19,MATCH(4,B4:B20,0),6)</f>
        <v>-9.9999999999999645E-2</v>
      </c>
    </row>
    <row r="8" spans="1:8" x14ac:dyDescent="0.2">
      <c r="A8" s="3">
        <v>5</v>
      </c>
      <c r="B8" s="6">
        <f>RANK('3s.bezr.Pol'!C7,'3s.bezr.Pol'!$C$3:'3s.bezr.Pol'!$C$19,1)+COUNTIF('3s.bezr.Pol'!$C$3:'3s.bezr.Pol'!C7,'3s.bezr.Pol'!C7)-1</f>
        <v>4</v>
      </c>
      <c r="C8" s="5" t="str">
        <f>INDEX('3s.bezr.Pol'!B3:G19,MATCH(5,B4:B20,0),1)</f>
        <v>DOLNOŚLĄSKIE</v>
      </c>
      <c r="D8" s="8">
        <f>INDEX('3s.bezr.Pol'!B3:G19,MATCH(5,B4:B20,0),2)</f>
        <v>4.4000000000000004</v>
      </c>
      <c r="E8" s="31">
        <f>INDEX('3s.bezr.Pol'!B3:G19,MATCH(5,B4:B20,0),3)</f>
        <v>4.4000000000000004</v>
      </c>
      <c r="F8" s="67">
        <f>INDEX('3s.bezr.Pol'!B3:G19,MATCH(5,B4:B20,0),4)</f>
        <v>0</v>
      </c>
      <c r="G8" s="31">
        <f>INDEX('3s.bezr.Pol'!B3:G19,MATCH(5,B4:B20,0),5)</f>
        <v>4.5</v>
      </c>
      <c r="H8" s="67">
        <f>INDEX('3s.bezr.Pol'!B3:G19,MATCH(5,B4:B20,0),6)</f>
        <v>-9.9999999999999645E-2</v>
      </c>
    </row>
    <row r="9" spans="1:8" x14ac:dyDescent="0.2">
      <c r="A9" s="3">
        <v>6</v>
      </c>
      <c r="B9" s="6">
        <f>RANK('3s.bezr.Pol'!C8,'3s.bezr.Pol'!$C$3:'3s.bezr.Pol'!$C$19,1)+COUNTIF('3s.bezr.Pol'!$C$3:'3s.bezr.Pol'!C8,'3s.bezr.Pol'!C8)-1</f>
        <v>9</v>
      </c>
      <c r="C9" s="5" t="str">
        <f>INDEX('3s.bezr.Pol'!B3:G19,MATCH(6,B4:B20,0),1)</f>
        <v>MAŁOPOLSKIE</v>
      </c>
      <c r="D9" s="8">
        <f>INDEX('3s.bezr.Pol'!B3:G19,MATCH(6,B4:B20,0),2)</f>
        <v>4.4000000000000004</v>
      </c>
      <c r="E9" s="31">
        <f>INDEX('3s.bezr.Pol'!B3:G19,MATCH(6,B4:B20,0),3)</f>
        <v>4.3</v>
      </c>
      <c r="F9" s="67">
        <f>INDEX('3s.bezr.Pol'!B3:G19,MATCH(6,B4:B20,0),4)</f>
        <v>0.10000000000000053</v>
      </c>
      <c r="G9" s="31">
        <f>INDEX('3s.bezr.Pol'!B3:G19,MATCH(6,B4:B20,0),5)</f>
        <v>4.5</v>
      </c>
      <c r="H9" s="67">
        <f>INDEX('3s.bezr.Pol'!B3:G19,MATCH(6,B4:B20,0),6)</f>
        <v>-9.9999999999999645E-2</v>
      </c>
    </row>
    <row r="10" spans="1:8" x14ac:dyDescent="0.2">
      <c r="A10" s="3">
        <v>7</v>
      </c>
      <c r="B10" s="6">
        <f>RANK('3s.bezr.Pol'!C9,'3s.bezr.Pol'!$C$3:'3s.bezr.Pol'!$C$19,1)+COUNTIF('3s.bezr.Pol'!$C$3:'3s.bezr.Pol'!C9,'3s.bezr.Pol'!C9)-1</f>
        <v>6</v>
      </c>
      <c r="C10" s="9" t="str">
        <f>INDEX('3s.bezr.Pol'!B3:G19,MATCH(7,B4:B20,0),1)</f>
        <v>POMORSKIE</v>
      </c>
      <c r="D10" s="8">
        <f>INDEX('3s.bezr.Pol'!B3:G19,MATCH(7,B4:B20,0),2)</f>
        <v>4.4000000000000004</v>
      </c>
      <c r="E10" s="31">
        <f>INDEX('3s.bezr.Pol'!B3:G19,MATCH(7,B4:B20,0),3)</f>
        <v>4.5</v>
      </c>
      <c r="F10" s="67">
        <f>INDEX('3s.bezr.Pol'!B3:G19,MATCH(7,B4:B20,0),4)</f>
        <v>-9.9999999999999645E-2</v>
      </c>
      <c r="G10" s="31">
        <f>INDEX('3s.bezr.Pol'!B3:G19,MATCH(7,B4:B20,0),5)</f>
        <v>4.4000000000000004</v>
      </c>
      <c r="H10" s="67">
        <f>INDEX('3s.bezr.Pol'!B3:G19,MATCH(7,B4:B20,0),6)</f>
        <v>0</v>
      </c>
    </row>
    <row r="11" spans="1:8" ht="15" x14ac:dyDescent="0.25">
      <c r="A11" s="3">
        <v>8</v>
      </c>
      <c r="B11" s="22">
        <f>RANK('3s.bezr.Pol'!C10,'3s.bezr.Pol'!$C$3:'3s.bezr.Pol'!$C$19,1)+COUNTIF('3s.bezr.Pol'!$C$3:'3s.bezr.Pol'!C10,'3s.bezr.Pol'!C10)-1</f>
        <v>3</v>
      </c>
      <c r="C11" s="41" t="str">
        <f>INDEX('3s.bezr.Pol'!B3:G19,MATCH(8,B4:B20,0),1)</f>
        <v>POLSKA</v>
      </c>
      <c r="D11" s="34">
        <f>INDEX('3s.bezr.Pol'!B3:G19,MATCH(8,B4:B20,0),2)</f>
        <v>5</v>
      </c>
      <c r="E11" s="51">
        <f>INDEX('3s.bezr.Pol'!B3:G19,MATCH(8,B4:B20,0),3)</f>
        <v>5</v>
      </c>
      <c r="F11" s="68">
        <f>INDEX('3s.bezr.Pol'!B3:G19,MATCH(8,B4:B20,0),4)</f>
        <v>0</v>
      </c>
      <c r="G11" s="51">
        <f>INDEX('3s.bezr.Pol'!B3:G19,MATCH(8,B4:B20,0),5)</f>
        <v>5.2</v>
      </c>
      <c r="H11" s="68">
        <f>INDEX('3s.bezr.Pol'!B3:G19,MATCH(8,B4:B20,0),6)</f>
        <v>-0.20000000000000018</v>
      </c>
    </row>
    <row r="12" spans="1:8" x14ac:dyDescent="0.2">
      <c r="A12" s="3">
        <v>9</v>
      </c>
      <c r="B12" s="6">
        <f>RANK('3s.bezr.Pol'!C11,'3s.bezr.Pol'!$C$3:'3s.bezr.Pol'!$C$19,1)+COUNTIF('3s.bezr.Pol'!$C$3:'3s.bezr.Pol'!C11,'3s.bezr.Pol'!C11)-1</f>
        <v>10</v>
      </c>
      <c r="C12" s="5" t="str">
        <f>INDEX('3s.bezr.Pol'!B3:G19,MATCH(9,B4:B20,0),1)</f>
        <v>ŁÓDZKIE</v>
      </c>
      <c r="D12" s="8">
        <f>INDEX('3s.bezr.Pol'!B3:G19,MATCH(9,B4:B20,0),2)</f>
        <v>5.5</v>
      </c>
      <c r="E12" s="31">
        <f>INDEX('3s.bezr.Pol'!B3:G19,MATCH(9,B4:B20,0),3)</f>
        <v>5.5</v>
      </c>
      <c r="F12" s="67">
        <f>INDEX('3s.bezr.Pol'!B3:G19,MATCH(9,B4:B20,0),4)</f>
        <v>0</v>
      </c>
      <c r="G12" s="31">
        <f>INDEX('3s.bezr.Pol'!B3:G19,MATCH(9,B4:B20,0),5)</f>
        <v>5.8</v>
      </c>
      <c r="H12" s="67">
        <f>INDEX('3s.bezr.Pol'!B3:G19,MATCH(9,B4:B20,0),6)</f>
        <v>-0.29999999999999982</v>
      </c>
    </row>
    <row r="13" spans="1:8" x14ac:dyDescent="0.2">
      <c r="A13" s="3">
        <v>10</v>
      </c>
      <c r="B13" s="6">
        <f>RANK('3s.bezr.Pol'!C12,'3s.bezr.Pol'!$C$3:'3s.bezr.Pol'!$C$19,1)+COUNTIF('3s.bezr.Pol'!$C$3:'3s.bezr.Pol'!C12,'3s.bezr.Pol'!C12)-1</f>
        <v>17</v>
      </c>
      <c r="C13" s="5" t="str">
        <f>INDEX('3s.bezr.Pol'!B3:G19,MATCH(10,B4:B20,0),1)</f>
        <v>OPOLSKIE</v>
      </c>
      <c r="D13" s="8">
        <f>INDEX('3s.bezr.Pol'!B3:G19,MATCH(10,B4:B20,0),2)</f>
        <v>6.1</v>
      </c>
      <c r="E13" s="31">
        <f>INDEX('3s.bezr.Pol'!B3:G19,MATCH(10,B4:B20,0),3)</f>
        <v>6.1</v>
      </c>
      <c r="F13" s="67">
        <f>INDEX('3s.bezr.Pol'!B3:G19,MATCH(10,B4:B20,0),4)</f>
        <v>0</v>
      </c>
      <c r="G13" s="31">
        <f>INDEX('3s.bezr.Pol'!B3:G19,MATCH(10,B4:B20,0),5)</f>
        <v>5.9</v>
      </c>
      <c r="H13" s="67">
        <f>INDEX('3s.bezr.Pol'!B3:G19,MATCH(10,B4:B20,0),6)</f>
        <v>0.19999999999999929</v>
      </c>
    </row>
    <row r="14" spans="1:8" x14ac:dyDescent="0.2">
      <c r="A14" s="3">
        <v>11</v>
      </c>
      <c r="B14" s="6">
        <f>RANK('3s.bezr.Pol'!C13,'3s.bezr.Pol'!$C$3:'3s.bezr.Pol'!$C$19,1)+COUNTIF('3s.bezr.Pol'!$C$3:'3s.bezr.Pol'!C13,'3s.bezr.Pol'!C13)-1</f>
        <v>13</v>
      </c>
      <c r="C14" s="5" t="str">
        <f>INDEX('3s.bezr.Pol'!B3:G19,MATCH(11,B4:B20,0),1)</f>
        <v>ZACHODNIOPOMORSKIE</v>
      </c>
      <c r="D14" s="8">
        <f>INDEX('3s.bezr.Pol'!B3:G19,MATCH(11,B4:B20,0),2)</f>
        <v>6.3</v>
      </c>
      <c r="E14" s="31">
        <f>INDEX('3s.bezr.Pol'!B3:G19,MATCH(11,B4:B20,0),3)</f>
        <v>6.4</v>
      </c>
      <c r="F14" s="67">
        <f>INDEX('3s.bezr.Pol'!B3:G19,MATCH(11,B4:B20,0),4)</f>
        <v>-0.10000000000000053</v>
      </c>
      <c r="G14" s="31">
        <f>INDEX('3s.bezr.Pol'!B3:G19,MATCH(11,B4:B20,0),5)</f>
        <v>6.5</v>
      </c>
      <c r="H14" s="67">
        <f>INDEX('3s.bezr.Pol'!B3:G19,MATCH(11,B4:B20,0),6)</f>
        <v>-0.20000000000000018</v>
      </c>
    </row>
    <row r="15" spans="1:8" x14ac:dyDescent="0.2">
      <c r="A15" s="3">
        <v>12</v>
      </c>
      <c r="B15" s="6">
        <f>RANK('3s.bezr.Pol'!C14,'3s.bezr.Pol'!$C$3:'3s.bezr.Pol'!$C$19,1)+COUNTIF('3s.bezr.Pol'!$C$3:'3s.bezr.Pol'!C14,'3s.bezr.Pol'!C14)-1</f>
        <v>7</v>
      </c>
      <c r="C15" s="5" t="str">
        <f>INDEX('3s.bezr.Pol'!B3:G19,MATCH(12,B4:B20,0),1)</f>
        <v>KUJAWSKO-POMORSKIE</v>
      </c>
      <c r="D15" s="8">
        <f>INDEX('3s.bezr.Pol'!B3:G19,MATCH(12,B4:B20,0),2)</f>
        <v>7</v>
      </c>
      <c r="E15" s="31">
        <f>INDEX('3s.bezr.Pol'!B3:G19,MATCH(12,B4:B20,0),3)</f>
        <v>7.1</v>
      </c>
      <c r="F15" s="67">
        <f>INDEX('3s.bezr.Pol'!B3:G19,MATCH(12,B4:B20,0),4)</f>
        <v>-9.9999999999999645E-2</v>
      </c>
      <c r="G15" s="31">
        <f>INDEX('3s.bezr.Pol'!B3:G19,MATCH(12,B4:B20,0),5)</f>
        <v>7.2</v>
      </c>
      <c r="H15" s="67">
        <f>INDEX('3s.bezr.Pol'!B3:G19,MATCH(12,B4:B20,0),6)</f>
        <v>-0.20000000000000018</v>
      </c>
    </row>
    <row r="16" spans="1:8" x14ac:dyDescent="0.2">
      <c r="A16" s="3">
        <v>13</v>
      </c>
      <c r="B16" s="6">
        <f>RANK('3s.bezr.Pol'!C15,'3s.bezr.Pol'!$C$3:'3s.bezr.Pol'!$C$19,1)+COUNTIF('3s.bezr.Pol'!$C$3:'3s.bezr.Pol'!C15,'3s.bezr.Pol'!C15)-1</f>
        <v>2</v>
      </c>
      <c r="C16" s="5" t="str">
        <f>INDEX('3s.bezr.Pol'!B3:G19,MATCH(13,B4:B20,0),1)</f>
        <v>PODLASKIE</v>
      </c>
      <c r="D16" s="8">
        <f>INDEX('3s.bezr.Pol'!B3:G19,MATCH(13,B4:B20,0),2)</f>
        <v>7.1</v>
      </c>
      <c r="E16" s="31">
        <f>INDEX('3s.bezr.Pol'!B3:G19,MATCH(13,B4:B20,0),3)</f>
        <v>7.1</v>
      </c>
      <c r="F16" s="67">
        <f>INDEX('3s.bezr.Pol'!B3:G19,MATCH(13,B4:B20,0),4)</f>
        <v>0</v>
      </c>
      <c r="G16" s="31">
        <f>INDEX('3s.bezr.Pol'!B3:G19,MATCH(13,B4:B20,0),5)</f>
        <v>7.2</v>
      </c>
      <c r="H16" s="67">
        <f>INDEX('3s.bezr.Pol'!B3:G19,MATCH(13,B4:B20,0),6)</f>
        <v>-0.10000000000000053</v>
      </c>
    </row>
    <row r="17" spans="1:8" x14ac:dyDescent="0.2">
      <c r="A17" s="3">
        <v>14</v>
      </c>
      <c r="B17" s="6">
        <f>RANK('3s.bezr.Pol'!C16,'3s.bezr.Pol'!$C$3:'3s.bezr.Pol'!$C$19,1)+COUNTIF('3s.bezr.Pol'!$C$3:'3s.bezr.Pol'!C16,'3s.bezr.Pol'!C16)-1</f>
        <v>15</v>
      </c>
      <c r="C17" s="5" t="str">
        <f>INDEX('3s.bezr.Pol'!B3:G19,MATCH(14,B4:B20,0),1)</f>
        <v>LUBELSKIE</v>
      </c>
      <c r="D17" s="8">
        <f>INDEX('3s.bezr.Pol'!B3:G19,MATCH(14,B4:B20,0),2)</f>
        <v>7.5</v>
      </c>
      <c r="E17" s="31">
        <f>INDEX('3s.bezr.Pol'!B3:G19,MATCH(14,B4:B20,0),3)</f>
        <v>7.5</v>
      </c>
      <c r="F17" s="67">
        <f>INDEX('3s.bezr.Pol'!B3:G19,MATCH(14,B4:B20,0),4)</f>
        <v>0</v>
      </c>
      <c r="G17" s="31">
        <f>INDEX('3s.bezr.Pol'!B3:G19,MATCH(14,B4:B20,0),5)</f>
        <v>8</v>
      </c>
      <c r="H17" s="67">
        <f>INDEX('3s.bezr.Pol'!B3:G19,MATCH(14,B4:B20,0),6)</f>
        <v>-0.5</v>
      </c>
    </row>
    <row r="18" spans="1:8" x14ac:dyDescent="0.2">
      <c r="A18" s="3">
        <v>15</v>
      </c>
      <c r="B18" s="6">
        <f>RANK('3s.bezr.Pol'!C17,'3s.bezr.Pol'!$C$3:'3s.bezr.Pol'!$C$19,1)+COUNTIF('3s.bezr.Pol'!$C$3:'3s.bezr.Pol'!C17,'3s.bezr.Pol'!C17)-1</f>
        <v>16</v>
      </c>
      <c r="C18" s="5" t="str">
        <f>INDEX('3s.bezr.Pol'!B3:G19,MATCH(15,B4:B20,0),1)</f>
        <v>ŚWIĘTOKRZYSKIE</v>
      </c>
      <c r="D18" s="8">
        <f>INDEX('3s.bezr.Pol'!B3:G19,MATCH(15,B4:B20,0),2)</f>
        <v>7.6</v>
      </c>
      <c r="E18" s="31">
        <f>INDEX('3s.bezr.Pol'!B3:G19,MATCH(15,B4:B20,0),3)</f>
        <v>7.6</v>
      </c>
      <c r="F18" s="67">
        <f>INDEX('3s.bezr.Pol'!B3:G19,MATCH(15,B4:B20,0),4)</f>
        <v>0</v>
      </c>
      <c r="G18" s="31">
        <f>INDEX('3s.bezr.Pol'!B3:G19,MATCH(15,B4:B20,0),5)</f>
        <v>7.7</v>
      </c>
      <c r="H18" s="67">
        <f>INDEX('3s.bezr.Pol'!B3:G19,MATCH(15,B4:B20,0),6)</f>
        <v>-0.10000000000000053</v>
      </c>
    </row>
    <row r="19" spans="1:8" x14ac:dyDescent="0.2">
      <c r="A19" s="3">
        <v>16</v>
      </c>
      <c r="B19" s="6">
        <f>RANK('3s.bezr.Pol'!C18,'3s.bezr.Pol'!$C$3:'3s.bezr.Pol'!$C$19,1)+COUNTIF('3s.bezr.Pol'!$C$3:'3s.bezr.Pol'!C18,'3s.bezr.Pol'!C18)-1</f>
        <v>1</v>
      </c>
      <c r="C19" s="5" t="str">
        <f>INDEX('3s.bezr.Pol'!B3:G19,MATCH(16,B4:B20,0),1)</f>
        <v>WARMIŃSKO-MAZURSKIE</v>
      </c>
      <c r="D19" s="8">
        <f>INDEX('3s.bezr.Pol'!B3:G19,MATCH(16,B4:B20,0),2)</f>
        <v>8.1999999999999993</v>
      </c>
      <c r="E19" s="31">
        <f>INDEX('3s.bezr.Pol'!B3:G19,MATCH(16,B4:B20,0),3)</f>
        <v>8.3000000000000007</v>
      </c>
      <c r="F19" s="67">
        <f>INDEX('3s.bezr.Pol'!B3:G19,MATCH(16,B4:B20,0),4)</f>
        <v>-0.10000000000000142</v>
      </c>
      <c r="G19" s="31">
        <f>INDEX('3s.bezr.Pol'!B3:G19,MATCH(16,B4:B20,0),5)</f>
        <v>8</v>
      </c>
      <c r="H19" s="67">
        <f>INDEX('3s.bezr.Pol'!B3:G19,MATCH(16,B4:B20,0),6)</f>
        <v>0.19999999999999929</v>
      </c>
    </row>
    <row r="20" spans="1:8" x14ac:dyDescent="0.2">
      <c r="A20" s="3">
        <v>17</v>
      </c>
      <c r="B20" s="6">
        <f>RANK('3s.bezr.Pol'!C19,'3s.bezr.Pol'!$C$3:'3s.bezr.Pol'!$C$19,1)+COUNTIF('3s.bezr.Pol'!$C$3:'3s.bezr.Pol'!C19,'3s.bezr.Pol'!C19)-1</f>
        <v>11</v>
      </c>
      <c r="C20" s="9" t="str">
        <f>INDEX('3s.bezr.Pol'!B3:G19,MATCH(17,B4:B20,0),1)</f>
        <v>PODKARPACKIE</v>
      </c>
      <c r="D20" s="8">
        <f>INDEX('3s.bezr.Pol'!B3:G19,MATCH(17,B4:B20,0),2)</f>
        <v>8.4</v>
      </c>
      <c r="E20" s="31">
        <f>INDEX('3s.bezr.Pol'!B3:G19,MATCH(17,B4:B20,0),3)</f>
        <v>8.4</v>
      </c>
      <c r="F20" s="67">
        <f>INDEX('3s.bezr.Pol'!B3:G19,MATCH(17,B4:B20,0),4)</f>
        <v>0</v>
      </c>
      <c r="G20" s="31">
        <f>INDEX('3s.bezr.Pol'!B3:G19,MATCH(17,B4:B20,0),5)</f>
        <v>8.8000000000000007</v>
      </c>
      <c r="H20" s="67">
        <f>INDEX('3s.bezr.Pol'!B3:G19,MATCH(17,B4:B20,0),6)</f>
        <v>-0.40000000000000036</v>
      </c>
    </row>
    <row r="21" spans="1:8" x14ac:dyDescent="0.2">
      <c r="B21" s="52" t="s">
        <v>102</v>
      </c>
    </row>
    <row r="22" spans="1:8" x14ac:dyDescent="0.2">
      <c r="B22" s="52"/>
    </row>
    <row r="23" spans="1:8" x14ac:dyDescent="0.2">
      <c r="B23" s="53"/>
    </row>
  </sheetData>
  <pageMargins left="0" right="0" top="0.31496062992125984" bottom="0" header="0" footer="0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700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1.5703125" style="3" customWidth="1"/>
    <col min="3" max="3" width="15" style="3" customWidth="1"/>
    <col min="4" max="4" width="16" style="3" customWidth="1"/>
    <col min="5" max="5" width="16.28515625" style="3" customWidth="1"/>
    <col min="6" max="6" width="15.5703125" style="3" customWidth="1"/>
    <col min="7" max="7" width="17.140625" style="3" customWidth="1"/>
    <col min="8" max="8" width="2.42578125" style="3" customWidth="1"/>
    <col min="9" max="9" width="10.140625" style="3" customWidth="1"/>
    <col min="10" max="16384" width="9.140625" style="3"/>
  </cols>
  <sheetData>
    <row r="1" spans="1:8" ht="16.5" customHeight="1" x14ac:dyDescent="0.2">
      <c r="B1" s="2" t="s">
        <v>90</v>
      </c>
    </row>
    <row r="2" spans="1:8" ht="71.25" x14ac:dyDescent="0.2">
      <c r="B2" s="56" t="s">
        <v>27</v>
      </c>
      <c r="C2" s="56" t="s">
        <v>134</v>
      </c>
      <c r="D2" s="57" t="s">
        <v>135</v>
      </c>
      <c r="E2" s="56" t="s">
        <v>75</v>
      </c>
      <c r="F2" s="57" t="s">
        <v>133</v>
      </c>
      <c r="G2" s="56" t="s">
        <v>76</v>
      </c>
    </row>
    <row r="3" spans="1:8" ht="15" x14ac:dyDescent="0.2">
      <c r="A3" s="25">
        <v>1</v>
      </c>
      <c r="B3" s="69" t="s">
        <v>33</v>
      </c>
      <c r="C3" s="70">
        <v>5</v>
      </c>
      <c r="D3" s="71">
        <v>5</v>
      </c>
      <c r="E3" s="72">
        <f>($C$3)-$D$3</f>
        <v>0</v>
      </c>
      <c r="F3" s="71">
        <v>5.2</v>
      </c>
      <c r="G3" s="70">
        <f>($C$3)-$F$3</f>
        <v>-0.20000000000000018</v>
      </c>
      <c r="H3" s="25"/>
    </row>
    <row r="4" spans="1:8" ht="15" x14ac:dyDescent="0.25">
      <c r="A4" s="25">
        <v>2</v>
      </c>
      <c r="B4" s="73" t="s">
        <v>42</v>
      </c>
      <c r="C4" s="74">
        <v>8.4</v>
      </c>
      <c r="D4" s="71">
        <v>8.4</v>
      </c>
      <c r="E4" s="74">
        <f>($C$4)-$D$4</f>
        <v>0</v>
      </c>
      <c r="F4" s="71">
        <v>8.8000000000000007</v>
      </c>
      <c r="G4" s="74">
        <f>($C$4)-$F$4</f>
        <v>-0.40000000000000036</v>
      </c>
      <c r="H4" s="25"/>
    </row>
    <row r="5" spans="1:8" x14ac:dyDescent="0.2">
      <c r="A5" s="25">
        <v>3</v>
      </c>
      <c r="B5" s="29" t="s">
        <v>50</v>
      </c>
      <c r="C5" s="30">
        <v>14.9</v>
      </c>
      <c r="D5" s="75">
        <v>14.7</v>
      </c>
      <c r="E5" s="8">
        <f>($C$5)-$D$5</f>
        <v>0.20000000000000107</v>
      </c>
      <c r="F5" s="75">
        <v>15.2</v>
      </c>
      <c r="G5" s="8">
        <f>($C$5)-$F$5</f>
        <v>-0.29999999999999893</v>
      </c>
      <c r="H5" s="25"/>
    </row>
    <row r="6" spans="1:8" x14ac:dyDescent="0.2">
      <c r="A6" s="25">
        <v>4</v>
      </c>
      <c r="B6" s="29" t="s">
        <v>51</v>
      </c>
      <c r="C6" s="30">
        <v>19.3</v>
      </c>
      <c r="D6" s="75">
        <v>19.100000000000001</v>
      </c>
      <c r="E6" s="8">
        <f>($C$6)-$D$6</f>
        <v>0.19999999999999929</v>
      </c>
      <c r="F6" s="75">
        <v>20.7</v>
      </c>
      <c r="G6" s="8">
        <f>($C$6)-$F$6</f>
        <v>-1.3999999999999986</v>
      </c>
      <c r="H6" s="25"/>
    </row>
    <row r="7" spans="1:8" x14ac:dyDescent="0.2">
      <c r="A7" s="25">
        <v>5</v>
      </c>
      <c r="B7" s="29" t="s">
        <v>52</v>
      </c>
      <c r="C7" s="30">
        <v>4.7</v>
      </c>
      <c r="D7" s="75">
        <v>4.7</v>
      </c>
      <c r="E7" s="8">
        <f>($C$7)-$D$7</f>
        <v>0</v>
      </c>
      <c r="F7" s="75">
        <v>4.7</v>
      </c>
      <c r="G7" s="8">
        <f>($C$7)-$F$7</f>
        <v>0</v>
      </c>
      <c r="H7" s="25"/>
    </row>
    <row r="8" spans="1:8" x14ac:dyDescent="0.2">
      <c r="A8" s="25">
        <v>6</v>
      </c>
      <c r="B8" s="29" t="s">
        <v>53</v>
      </c>
      <c r="C8" s="30">
        <v>10.6</v>
      </c>
      <c r="D8" s="75">
        <v>10.7</v>
      </c>
      <c r="E8" s="8">
        <f>($C$8)-$D$8</f>
        <v>-9.9999999999999645E-2</v>
      </c>
      <c r="F8" s="75">
        <v>11.6</v>
      </c>
      <c r="G8" s="8">
        <f>($C$8)-$F$8</f>
        <v>-1</v>
      </c>
      <c r="H8" s="25"/>
    </row>
    <row r="9" spans="1:8" x14ac:dyDescent="0.2">
      <c r="A9" s="25">
        <v>7</v>
      </c>
      <c r="B9" s="29" t="s">
        <v>54</v>
      </c>
      <c r="C9" s="30">
        <v>12.4</v>
      </c>
      <c r="D9" s="75">
        <v>12.3</v>
      </c>
      <c r="E9" s="8">
        <f>($C$9)-$D$9</f>
        <v>9.9999999999999645E-2</v>
      </c>
      <c r="F9" s="75">
        <v>12.5</v>
      </c>
      <c r="G9" s="8">
        <f>($C$9)-$F$9</f>
        <v>-9.9999999999999645E-2</v>
      </c>
      <c r="H9" s="25"/>
    </row>
    <row r="10" spans="1:8" x14ac:dyDescent="0.2">
      <c r="A10" s="25">
        <v>8</v>
      </c>
      <c r="B10" s="29" t="s">
        <v>55</v>
      </c>
      <c r="C10" s="30">
        <v>8.1999999999999993</v>
      </c>
      <c r="D10" s="75">
        <v>8.1999999999999993</v>
      </c>
      <c r="E10" s="8">
        <f>($C$10)-$D$10</f>
        <v>0</v>
      </c>
      <c r="F10" s="75">
        <v>8.8000000000000007</v>
      </c>
      <c r="G10" s="8">
        <f>($C$10)-$F$10</f>
        <v>-0.60000000000000142</v>
      </c>
      <c r="H10" s="25"/>
    </row>
    <row r="11" spans="1:8" x14ac:dyDescent="0.2">
      <c r="A11" s="25">
        <v>9</v>
      </c>
      <c r="B11" s="29" t="s">
        <v>56</v>
      </c>
      <c r="C11" s="30">
        <v>8</v>
      </c>
      <c r="D11" s="75">
        <v>8</v>
      </c>
      <c r="E11" s="8">
        <f>($C$11)-$D$11</f>
        <v>0</v>
      </c>
      <c r="F11" s="75">
        <v>7.2</v>
      </c>
      <c r="G11" s="8">
        <f>($C$11)-$F$11</f>
        <v>0.79999999999999982</v>
      </c>
      <c r="H11" s="25"/>
    </row>
    <row r="12" spans="1:8" ht="15" x14ac:dyDescent="0.25">
      <c r="A12" s="25">
        <v>10</v>
      </c>
      <c r="B12" s="32" t="s">
        <v>57</v>
      </c>
      <c r="C12" s="33">
        <v>17.3</v>
      </c>
      <c r="D12" s="71">
        <v>17.8</v>
      </c>
      <c r="E12" s="34">
        <f>($C$12)-$D$12</f>
        <v>-0.5</v>
      </c>
      <c r="F12" s="71">
        <v>17.7</v>
      </c>
      <c r="G12" s="34">
        <f>($C$12)-$F$12</f>
        <v>-0.39999999999999858</v>
      </c>
      <c r="H12" s="28"/>
    </row>
    <row r="13" spans="1:8" x14ac:dyDescent="0.2">
      <c r="A13" s="25">
        <v>11</v>
      </c>
      <c r="B13" s="29" t="s">
        <v>58</v>
      </c>
      <c r="C13" s="30">
        <v>14.3</v>
      </c>
      <c r="D13" s="75">
        <v>14.2</v>
      </c>
      <c r="E13" s="8">
        <f>($C$13)-$D$13</f>
        <v>0.10000000000000142</v>
      </c>
      <c r="F13" s="75">
        <v>15.4</v>
      </c>
      <c r="G13" s="8">
        <f>($C$13)-$F$13</f>
        <v>-1.0999999999999996</v>
      </c>
      <c r="H13" s="25"/>
    </row>
    <row r="14" spans="1:8" x14ac:dyDescent="0.2">
      <c r="A14" s="25">
        <v>12</v>
      </c>
      <c r="B14" s="29" t="s">
        <v>59</v>
      </c>
      <c r="C14" s="30">
        <v>10</v>
      </c>
      <c r="D14" s="75">
        <v>9.6999999999999993</v>
      </c>
      <c r="E14" s="8">
        <f>($C$14)-$D$14</f>
        <v>0.30000000000000071</v>
      </c>
      <c r="F14" s="75">
        <v>10</v>
      </c>
      <c r="G14" s="8">
        <f>($C$14)-$F$14</f>
        <v>0</v>
      </c>
      <c r="H14" s="25"/>
    </row>
    <row r="15" spans="1:8" x14ac:dyDescent="0.2">
      <c r="A15" s="25">
        <v>13</v>
      </c>
      <c r="B15" s="29" t="s">
        <v>60</v>
      </c>
      <c r="C15" s="30">
        <v>9.6</v>
      </c>
      <c r="D15" s="75">
        <v>9.5</v>
      </c>
      <c r="E15" s="8">
        <f>($C$15)-$D$15</f>
        <v>9.9999999999999645E-2</v>
      </c>
      <c r="F15" s="75">
        <v>10.5</v>
      </c>
      <c r="G15" s="8">
        <f>($C$15)-$F$15</f>
        <v>-0.90000000000000036</v>
      </c>
      <c r="H15" s="25"/>
    </row>
    <row r="16" spans="1:8" x14ac:dyDescent="0.2">
      <c r="A16" s="25">
        <v>14</v>
      </c>
      <c r="B16" s="29" t="s">
        <v>61</v>
      </c>
      <c r="C16" s="30">
        <v>4.9000000000000004</v>
      </c>
      <c r="D16" s="75">
        <v>4.8</v>
      </c>
      <c r="E16" s="8">
        <f>($C$16)-$D$16</f>
        <v>0.10000000000000053</v>
      </c>
      <c r="F16" s="75">
        <v>4.5999999999999996</v>
      </c>
      <c r="G16" s="8">
        <f>($C$16)-$F$16</f>
        <v>0.30000000000000071</v>
      </c>
      <c r="H16" s="25"/>
    </row>
    <row r="17" spans="1:8" x14ac:dyDescent="0.2">
      <c r="A17" s="25">
        <v>15</v>
      </c>
      <c r="B17" s="29" t="s">
        <v>62</v>
      </c>
      <c r="C17" s="30">
        <v>17.100000000000001</v>
      </c>
      <c r="D17" s="75">
        <v>17</v>
      </c>
      <c r="E17" s="8">
        <f>($C$17)-$D$17</f>
        <v>0.10000000000000142</v>
      </c>
      <c r="F17" s="75">
        <v>17.7</v>
      </c>
      <c r="G17" s="8">
        <f>($C$17)-$F$17</f>
        <v>-0.59999999999999787</v>
      </c>
      <c r="H17" s="25"/>
    </row>
    <row r="18" spans="1:8" x14ac:dyDescent="0.2">
      <c r="A18" s="25">
        <v>16</v>
      </c>
      <c r="B18" s="29" t="s">
        <v>63</v>
      </c>
      <c r="C18" s="30">
        <v>15.9</v>
      </c>
      <c r="D18" s="75">
        <v>16.2</v>
      </c>
      <c r="E18" s="8">
        <f>($C$18)-$D$18</f>
        <v>-0.29999999999999893</v>
      </c>
      <c r="F18" s="75">
        <v>17</v>
      </c>
      <c r="G18" s="8">
        <f>($C$18)-$F$18</f>
        <v>-1.0999999999999996</v>
      </c>
      <c r="H18" s="25"/>
    </row>
    <row r="19" spans="1:8" x14ac:dyDescent="0.2">
      <c r="A19" s="25">
        <v>17</v>
      </c>
      <c r="B19" s="29" t="s">
        <v>64</v>
      </c>
      <c r="C19" s="30">
        <v>13.7</v>
      </c>
      <c r="D19" s="75">
        <v>13.2</v>
      </c>
      <c r="E19" s="8">
        <f>($C$19)-$D$19</f>
        <v>0.5</v>
      </c>
      <c r="F19" s="75">
        <v>14.5</v>
      </c>
      <c r="G19" s="8">
        <f>($C$19)-$F$19</f>
        <v>-0.80000000000000071</v>
      </c>
      <c r="H19" s="25"/>
    </row>
    <row r="20" spans="1:8" x14ac:dyDescent="0.2">
      <c r="A20" s="25">
        <v>18</v>
      </c>
      <c r="B20" s="29" t="s">
        <v>65</v>
      </c>
      <c r="C20" s="30">
        <v>10.7</v>
      </c>
      <c r="D20" s="75">
        <v>10.7</v>
      </c>
      <c r="E20" s="8">
        <f>($C$20)-$D$20</f>
        <v>0</v>
      </c>
      <c r="F20" s="75">
        <v>12.2</v>
      </c>
      <c r="G20" s="8">
        <f>($C$20)-$F$20</f>
        <v>-1.5</v>
      </c>
      <c r="H20" s="25"/>
    </row>
    <row r="21" spans="1:8" x14ac:dyDescent="0.2">
      <c r="A21" s="25">
        <v>19</v>
      </c>
      <c r="B21" s="29" t="s">
        <v>66</v>
      </c>
      <c r="C21" s="30">
        <v>8.1</v>
      </c>
      <c r="D21" s="75">
        <v>8</v>
      </c>
      <c r="E21" s="8">
        <f>($C$21)-$D$21</f>
        <v>9.9999999999999645E-2</v>
      </c>
      <c r="F21" s="75">
        <v>8.5</v>
      </c>
      <c r="G21" s="8">
        <f>($C$21)-$F$21</f>
        <v>-0.40000000000000036</v>
      </c>
      <c r="H21" s="25"/>
    </row>
    <row r="22" spans="1:8" x14ac:dyDescent="0.2">
      <c r="A22" s="25">
        <v>20</v>
      </c>
      <c r="B22" s="29" t="s">
        <v>67</v>
      </c>
      <c r="C22" s="30">
        <v>7.8</v>
      </c>
      <c r="D22" s="75">
        <v>7.7</v>
      </c>
      <c r="E22" s="8">
        <f>($C$22)-$D$22</f>
        <v>9.9999999999999645E-2</v>
      </c>
      <c r="F22" s="75">
        <v>7.1</v>
      </c>
      <c r="G22" s="8">
        <f>($C$22)-$F$22</f>
        <v>0.70000000000000018</v>
      </c>
      <c r="H22" s="25"/>
    </row>
    <row r="23" spans="1:8" x14ac:dyDescent="0.2">
      <c r="A23" s="25">
        <v>21</v>
      </c>
      <c r="B23" s="29" t="s">
        <v>68</v>
      </c>
      <c r="C23" s="30">
        <v>4.8</v>
      </c>
      <c r="D23" s="75">
        <v>4.7</v>
      </c>
      <c r="E23" s="8">
        <f>($C$23)-$D$23</f>
        <v>9.9999999999999645E-2</v>
      </c>
      <c r="F23" s="75">
        <v>5.0999999999999996</v>
      </c>
      <c r="G23" s="8">
        <f>($C$23)-$F$23</f>
        <v>-0.29999999999999982</v>
      </c>
      <c r="H23" s="25"/>
    </row>
    <row r="24" spans="1:8" x14ac:dyDescent="0.2">
      <c r="A24" s="25">
        <v>22</v>
      </c>
      <c r="B24" s="29" t="s">
        <v>69</v>
      </c>
      <c r="C24" s="30">
        <v>16.8</v>
      </c>
      <c r="D24" s="75">
        <v>16.8</v>
      </c>
      <c r="E24" s="8">
        <f>($C$24)-$D$24</f>
        <v>0</v>
      </c>
      <c r="F24" s="75">
        <v>17.8</v>
      </c>
      <c r="G24" s="8">
        <f>($C$24)-$F$24</f>
        <v>-1</v>
      </c>
      <c r="H24" s="25"/>
    </row>
    <row r="25" spans="1:8" x14ac:dyDescent="0.2">
      <c r="A25" s="25">
        <v>23</v>
      </c>
      <c r="B25" s="29" t="s">
        <v>70</v>
      </c>
      <c r="C25" s="30">
        <v>7</v>
      </c>
      <c r="D25" s="75">
        <v>6.9</v>
      </c>
      <c r="E25" s="8">
        <f>($C$25)-$D$25</f>
        <v>9.9999999999999645E-2</v>
      </c>
      <c r="F25" s="75">
        <v>7.4</v>
      </c>
      <c r="G25" s="8">
        <f>($C$25)-$F$25</f>
        <v>-0.40000000000000036</v>
      </c>
      <c r="H25" s="25"/>
    </row>
    <row r="26" spans="1:8" x14ac:dyDescent="0.2">
      <c r="A26" s="25">
        <v>24</v>
      </c>
      <c r="B26" s="29" t="s">
        <v>71</v>
      </c>
      <c r="C26" s="35">
        <v>2.5</v>
      </c>
      <c r="D26" s="75">
        <v>2.5</v>
      </c>
      <c r="E26" s="8">
        <f>($C$26)-$D$26</f>
        <v>0</v>
      </c>
      <c r="F26" s="75">
        <v>2.6</v>
      </c>
      <c r="G26" s="8">
        <f>($C$26)-$F$26</f>
        <v>-0.10000000000000009</v>
      </c>
      <c r="H26" s="25"/>
    </row>
    <row r="27" spans="1:8" x14ac:dyDescent="0.2">
      <c r="A27" s="25">
        <v>25</v>
      </c>
      <c r="B27" s="29" t="s">
        <v>72</v>
      </c>
      <c r="C27" s="30">
        <v>9.1</v>
      </c>
      <c r="D27" s="75">
        <v>9.1999999999999993</v>
      </c>
      <c r="E27" s="8">
        <f>($C$27)-$D$27</f>
        <v>-9.9999999999999645E-2</v>
      </c>
      <c r="F27" s="75">
        <v>9.6</v>
      </c>
      <c r="G27" s="8">
        <f>($C$27)-$F$27</f>
        <v>-0.5</v>
      </c>
      <c r="H27" s="25"/>
    </row>
    <row r="28" spans="1:8" x14ac:dyDescent="0.2">
      <c r="A28" s="25">
        <v>26</v>
      </c>
      <c r="B28" s="29" t="s">
        <v>73</v>
      </c>
      <c r="C28" s="30">
        <v>4.0999999999999996</v>
      </c>
      <c r="D28" s="75">
        <v>4.0999999999999996</v>
      </c>
      <c r="E28" s="8">
        <f>($C$28)-$D$28</f>
        <v>0</v>
      </c>
      <c r="F28" s="75">
        <v>4.5</v>
      </c>
      <c r="G28" s="8">
        <f>($C$28)-$F$28</f>
        <v>-0.40000000000000036</v>
      </c>
      <c r="H28" s="25"/>
    </row>
    <row r="29" spans="1:8" x14ac:dyDescent="0.2">
      <c r="A29" s="25">
        <v>27</v>
      </c>
      <c r="B29" s="29" t="s">
        <v>74</v>
      </c>
      <c r="C29" s="30">
        <v>6.8</v>
      </c>
      <c r="D29" s="76">
        <v>6.6</v>
      </c>
      <c r="E29" s="8">
        <f>($C$29)-$D$29</f>
        <v>0.20000000000000018</v>
      </c>
      <c r="F29" s="75">
        <v>7.3</v>
      </c>
      <c r="G29" s="8">
        <f>($C$29)-$F$29</f>
        <v>-0.5</v>
      </c>
      <c r="H29" s="25"/>
    </row>
    <row r="30" spans="1:8" x14ac:dyDescent="0.2">
      <c r="B30" s="52" t="s">
        <v>102</v>
      </c>
      <c r="E30" s="28"/>
    </row>
    <row r="31" spans="1:8" x14ac:dyDescent="0.2">
      <c r="B31" s="52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25" customWidth="1"/>
    <col min="2" max="2" width="7" style="3" customWidth="1"/>
    <col min="3" max="3" width="31" style="3" customWidth="1"/>
    <col min="4" max="4" width="15.5703125" style="3" customWidth="1"/>
    <col min="5" max="5" width="15.28515625" style="3" customWidth="1"/>
    <col min="6" max="6" width="17.28515625" style="3" customWidth="1"/>
    <col min="7" max="7" width="15.7109375" style="3" customWidth="1"/>
    <col min="8" max="8" width="18.2851562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90</v>
      </c>
    </row>
    <row r="2" spans="1:8" ht="15" x14ac:dyDescent="0.2">
      <c r="C2" s="20"/>
      <c r="D2" s="21"/>
    </row>
    <row r="3" spans="1:8" ht="57" x14ac:dyDescent="0.2">
      <c r="B3" s="62" t="s">
        <v>88</v>
      </c>
      <c r="C3" s="55" t="str">
        <f>T('4s.bezr.pow.'!B2)</f>
        <v>powiaty</v>
      </c>
      <c r="D3" s="55" t="str">
        <f>T('4s.bezr.pow.'!C2)</f>
        <v>Stopa bezrobocia stan na 31 VII '23 r. w proc.*</v>
      </c>
      <c r="E3" s="55" t="str">
        <f>T('4s.bezr.pow.'!D2)</f>
        <v>Stopa bezrobocia stan na 30 VI '23 r. w proc. *</v>
      </c>
      <c r="F3" s="55" t="str">
        <f>T('4s.bezr.pow.'!E2)</f>
        <v>wzrost/spadek do poprzedniego miesiąca (pkt. proc.)</v>
      </c>
      <c r="G3" s="55" t="str">
        <f>T('4s.bezr.pow.'!F2)</f>
        <v>Stopa bezrobocia stan na 31 VII '22 r. w proc.*</v>
      </c>
      <c r="H3" s="55" t="str">
        <f>T('4s.bezr.pow.'!G2)</f>
        <v>wzrost/spadek do analogicznego okresu ubr. (pkt. proc.)</v>
      </c>
    </row>
    <row r="4" spans="1:8" x14ac:dyDescent="0.2">
      <c r="A4" s="25">
        <v>1</v>
      </c>
      <c r="B4" s="6">
        <f>RANK('4s.bezr.pow.'!C3,'4s.bezr.pow.'!$C$3:'4s.bezr.pow.'!$C$29,1)+COUNTIF('4s.bezr.pow.'!$C$3:'4s.bezr.pow.'!C3,'4s.bezr.pow.'!C3)-1</f>
        <v>6</v>
      </c>
      <c r="C4" s="36" t="str">
        <f>INDEX('4s.bezr.pow.'!B3:G29,MATCH(1,B4:B30,0),1)</f>
        <v>Powiat m.Krosno</v>
      </c>
      <c r="D4" s="28">
        <f>INDEX('4s.bezr.pow.'!B3:G29,MATCH(1,B4:B30,0),2)</f>
        <v>2.5</v>
      </c>
      <c r="E4" s="75">
        <f>INDEX('4s.bezr.pow.'!B3:G29,MATCH(1,B4:B30,0),3)</f>
        <v>2.5</v>
      </c>
      <c r="F4" s="24">
        <f>INDEX('4s.bezr.pow.'!B3:G29,MATCH(1,B4:B30,0),4)</f>
        <v>0</v>
      </c>
      <c r="G4" s="75">
        <f>INDEX('4s.bezr.pow.'!B3:G29,MATCH(1,B4:B30,0),5)</f>
        <v>2.6</v>
      </c>
      <c r="H4" s="24">
        <f>INDEX('4s.bezr.pow.'!B3:G29,MATCH(1,B4:B30,0),6)</f>
        <v>-0.10000000000000009</v>
      </c>
    </row>
    <row r="5" spans="1:8" x14ac:dyDescent="0.2">
      <c r="A5" s="25">
        <v>2</v>
      </c>
      <c r="B5" s="6">
        <f>RANK('4s.bezr.pow.'!C4,'4s.bezr.pow.'!$C$3:'4s.bezr.pow.'!$C$29,1)+COUNTIF('4s.bezr.pow.'!$C$3:'4s.bezr.pow.'!C4,'4s.bezr.pow.'!C4)-1</f>
        <v>13</v>
      </c>
      <c r="C5" s="5" t="str">
        <f>INDEX('4s.bezr.pow.'!B3:G29,MATCH(2,B4:B30,0),1)</f>
        <v>Powiat m.Rzeszów</v>
      </c>
      <c r="D5" s="8">
        <f>INDEX('4s.bezr.pow.'!B3:G29,MATCH(2,B4:B30,0),2)</f>
        <v>4.0999999999999996</v>
      </c>
      <c r="E5" s="75">
        <f>INDEX('4s.bezr.pow.'!B3:G29,MATCH(2,B4:B30,0),3)</f>
        <v>4.0999999999999996</v>
      </c>
      <c r="F5" s="24">
        <f>INDEX('4s.bezr.pow.'!B3:G29,MATCH(2,B4:B30,0),4)</f>
        <v>0</v>
      </c>
      <c r="G5" s="75">
        <f>INDEX('4s.bezr.pow.'!B3:G29,MATCH(2,B4:B30,0),5)</f>
        <v>4.5</v>
      </c>
      <c r="H5" s="24">
        <f>INDEX('4s.bezr.pow.'!B3:G29,MATCH(2,B4:B30,0),6)</f>
        <v>-0.40000000000000036</v>
      </c>
    </row>
    <row r="6" spans="1:8" x14ac:dyDescent="0.2">
      <c r="A6" s="25">
        <v>3</v>
      </c>
      <c r="B6" s="6">
        <f>RANK('4s.bezr.pow.'!C5,'4s.bezr.pow.'!$C$3:'4s.bezr.pow.'!$C$29,1)+COUNTIF('4s.bezr.pow.'!$C$3:'4s.bezr.pow.'!C5,'4s.bezr.pow.'!C5)-1</f>
        <v>22</v>
      </c>
      <c r="C6" s="5" t="str">
        <f>INDEX('4s.bezr.pow.'!B3:G29,MATCH(3,B4:B30,0),1)</f>
        <v>Powiat dębicki</v>
      </c>
      <c r="D6" s="8">
        <f>INDEX('4s.bezr.pow.'!B3:G29,MATCH(3,B4:B30,0),2)</f>
        <v>4.7</v>
      </c>
      <c r="E6" s="75">
        <f>INDEX('4s.bezr.pow.'!B3:G29,MATCH(3,B4:B30,0),3)</f>
        <v>4.7</v>
      </c>
      <c r="F6" s="24">
        <f>INDEX('4s.bezr.pow.'!B3:G29,MATCH(3,B4:B30,0),4)</f>
        <v>0</v>
      </c>
      <c r="G6" s="75">
        <f>INDEX('4s.bezr.pow.'!B3:G29,MATCH(3,B4:B30,0),5)</f>
        <v>4.7</v>
      </c>
      <c r="H6" s="24">
        <f>INDEX('4s.bezr.pow.'!B3:G29,MATCH(3,B4:B30,0),6)</f>
        <v>0</v>
      </c>
    </row>
    <row r="7" spans="1:8" x14ac:dyDescent="0.2">
      <c r="A7" s="25">
        <v>4</v>
      </c>
      <c r="B7" s="6">
        <f>RANK('4s.bezr.pow.'!C6,'4s.bezr.pow.'!$C$3:'4s.bezr.pow.'!$C$29,1)+COUNTIF('4s.bezr.pow.'!$C$3:'4s.bezr.pow.'!C6,'4s.bezr.pow.'!C6)-1</f>
        <v>27</v>
      </c>
      <c r="C7" s="5" t="str">
        <f>INDEX('4s.bezr.pow.'!B3:G29,MATCH(4,B4:B30,0),1)</f>
        <v>Powiat stalowowolski</v>
      </c>
      <c r="D7" s="8">
        <f>INDEX('4s.bezr.pow.'!B3:G29,MATCH(4,B4:B30,0),2)</f>
        <v>4.8</v>
      </c>
      <c r="E7" s="75">
        <f>INDEX('4s.bezr.pow.'!B3:G29,MATCH(4,B4:B30,0),3)</f>
        <v>4.7</v>
      </c>
      <c r="F7" s="24">
        <f>INDEX('4s.bezr.pow.'!B3:G29,MATCH(4,B4:B30,0),4)</f>
        <v>9.9999999999999645E-2</v>
      </c>
      <c r="G7" s="75">
        <f>INDEX('4s.bezr.pow.'!B3:G29,MATCH(4,B4:B30,0),5)</f>
        <v>5.0999999999999996</v>
      </c>
      <c r="H7" s="24">
        <f>INDEX('4s.bezr.pow.'!B3:G29,MATCH(4,B4:B30,0),6)</f>
        <v>-0.29999999999999982</v>
      </c>
    </row>
    <row r="8" spans="1:8" x14ac:dyDescent="0.2">
      <c r="A8" s="25">
        <v>5</v>
      </c>
      <c r="B8" s="6">
        <f>RANK('4s.bezr.pow.'!C7,'4s.bezr.pow.'!$C$3:'4s.bezr.pow.'!$C$29,1)+COUNTIF('4s.bezr.pow.'!$C$3:'4s.bezr.pow.'!C7,'4s.bezr.pow.'!C7)-1</f>
        <v>3</v>
      </c>
      <c r="C8" s="5" t="str">
        <f>INDEX('4s.bezr.pow.'!B3:G29,MATCH(5,B4:B30,0),1)</f>
        <v>Powiat mielecki</v>
      </c>
      <c r="D8" s="8">
        <f>INDEX('4s.bezr.pow.'!B3:G29,MATCH(5,B4:B30,0),2)</f>
        <v>4.9000000000000004</v>
      </c>
      <c r="E8" s="75">
        <f>INDEX('4s.bezr.pow.'!B3:G29,MATCH(5,B4:B30,0),3)</f>
        <v>4.8</v>
      </c>
      <c r="F8" s="24">
        <f>INDEX('4s.bezr.pow.'!B3:G29,MATCH(5,B4:B30,0),4)</f>
        <v>0.10000000000000053</v>
      </c>
      <c r="G8" s="75">
        <f>INDEX('4s.bezr.pow.'!B3:G29,MATCH(5,B4:B30,0),5)</f>
        <v>4.5999999999999996</v>
      </c>
      <c r="H8" s="24">
        <f>INDEX('4s.bezr.pow.'!B3:G29,MATCH(5,B4:B30,0),6)</f>
        <v>0.30000000000000071</v>
      </c>
    </row>
    <row r="9" spans="1:8" x14ac:dyDescent="0.2">
      <c r="A9" s="25">
        <v>6</v>
      </c>
      <c r="B9" s="6">
        <f>RANK('4s.bezr.pow.'!C8,'4s.bezr.pow.'!$C$3:'4s.bezr.pow.'!$C$29,1)+COUNTIF('4s.bezr.pow.'!$C$3:'4s.bezr.pow.'!C8,'4s.bezr.pow.'!C8)-1</f>
        <v>17</v>
      </c>
      <c r="C9" s="5" t="str">
        <f>INDEX('4s.bezr.pow.'!B3:G29,MATCH(6,B4:B30,0),1)</f>
        <v>POLSKA</v>
      </c>
      <c r="D9" s="8">
        <f>INDEX('4s.bezr.pow.'!B3:G29,MATCH(6,B4:B30,0),2)</f>
        <v>5</v>
      </c>
      <c r="E9" s="75">
        <f>INDEX('4s.bezr.pow.'!B3:G29,MATCH(6,B4:B30,0),3)</f>
        <v>5</v>
      </c>
      <c r="F9" s="24">
        <f>INDEX('4s.bezr.pow.'!B3:G29,MATCH(6,B4:B30,0),4)</f>
        <v>0</v>
      </c>
      <c r="G9" s="75">
        <f>INDEX('4s.bezr.pow.'!B3:G29,MATCH(6,B4:B30,0),5)</f>
        <v>5.2</v>
      </c>
      <c r="H9" s="24">
        <f>INDEX('4s.bezr.pow.'!B3:G29,MATCH(6,B4:B30,0),6)</f>
        <v>-0.20000000000000018</v>
      </c>
    </row>
    <row r="10" spans="1:8" x14ac:dyDescent="0.2">
      <c r="A10" s="25">
        <v>7</v>
      </c>
      <c r="B10" s="6">
        <f>RANK('4s.bezr.pow.'!C9,'4s.bezr.pow.'!$C$3:'4s.bezr.pow.'!$C$29,1)+COUNTIF('4s.bezr.pow.'!$C$3:'4s.bezr.pow.'!C9,'4s.bezr.pow.'!C9)-1</f>
        <v>19</v>
      </c>
      <c r="C10" s="9" t="str">
        <f>INDEX('4s.bezr.pow.'!B3:G29,MATCH(7,B4:B30,0),1)</f>
        <v>Powiat m.Tarnobrzeg</v>
      </c>
      <c r="D10" s="8">
        <f>INDEX('4s.bezr.pow.'!B3:G29,MATCH(7,B4:B30,0),2)</f>
        <v>6.8</v>
      </c>
      <c r="E10" s="75">
        <f>INDEX('4s.bezr.pow.'!B3:G29,MATCH(7,B4:B30,0),3)</f>
        <v>6.6</v>
      </c>
      <c r="F10" s="24">
        <f>INDEX('4s.bezr.pow.'!B3:G29,MATCH(7,B4:B30,0),4)</f>
        <v>0.20000000000000018</v>
      </c>
      <c r="G10" s="75">
        <f>INDEX('4s.bezr.pow.'!B3:G29,MATCH(7,B4:B30,0),5)</f>
        <v>7.3</v>
      </c>
      <c r="H10" s="24">
        <f>INDEX('4s.bezr.pow.'!B3:G29,MATCH(7,B4:B30,0),6)</f>
        <v>-0.5</v>
      </c>
    </row>
    <row r="11" spans="1:8" x14ac:dyDescent="0.2">
      <c r="A11" s="25">
        <v>8</v>
      </c>
      <c r="B11" s="6">
        <f>RANK('4s.bezr.pow.'!C10,'4s.bezr.pow.'!$C$3:'4s.bezr.pow.'!$C$29,1)+COUNTIF('4s.bezr.pow.'!$C$3:'4s.bezr.pow.'!C10,'4s.bezr.pow.'!C10)-1</f>
        <v>12</v>
      </c>
      <c r="C11" s="5" t="str">
        <f>INDEX('4s.bezr.pow.'!B3:G29,MATCH(8,B4:B30,0),1)</f>
        <v>Powiat tarnobrzeski</v>
      </c>
      <c r="D11" s="8">
        <f>INDEX('4s.bezr.pow.'!B3:G29,MATCH(8,B4:B30,0),2)</f>
        <v>7</v>
      </c>
      <c r="E11" s="75">
        <f>INDEX('4s.bezr.pow.'!B3:G29,MATCH(8,B4:B30,0),3)</f>
        <v>6.9</v>
      </c>
      <c r="F11" s="24">
        <f>INDEX('4s.bezr.pow.'!B3:G29,MATCH(8,B4:B30,0),4)</f>
        <v>9.9999999999999645E-2</v>
      </c>
      <c r="G11" s="75">
        <f>INDEX('4s.bezr.pow.'!B3:G29,MATCH(8,B4:B30,0),5)</f>
        <v>7.4</v>
      </c>
      <c r="H11" s="24">
        <f>INDEX('4s.bezr.pow.'!B3:G29,MATCH(8,B4:B30,0),6)</f>
        <v>-0.40000000000000036</v>
      </c>
    </row>
    <row r="12" spans="1:8" x14ac:dyDescent="0.2">
      <c r="A12" s="25">
        <v>9</v>
      </c>
      <c r="B12" s="6">
        <f>RANK('4s.bezr.pow.'!C11,'4s.bezr.pow.'!$C$3:'4s.bezr.pow.'!$C$29,1)+COUNTIF('4s.bezr.pow.'!$C$3:'4s.bezr.pow.'!C11,'4s.bezr.pow.'!C11)-1</f>
        <v>10</v>
      </c>
      <c r="C12" s="5" t="str">
        <f>INDEX('4s.bezr.pow.'!B3:G29,MATCH(9,B4:B30,0),1)</f>
        <v>Powiat sanocki</v>
      </c>
      <c r="D12" s="8">
        <f>INDEX('4s.bezr.pow.'!B3:G29,MATCH(9,B4:B30,0),2)</f>
        <v>7.8</v>
      </c>
      <c r="E12" s="75">
        <f>INDEX('4s.bezr.pow.'!B3:G29,MATCH(9,B4:B30,0),3)</f>
        <v>7.7</v>
      </c>
      <c r="F12" s="24">
        <f>INDEX('4s.bezr.pow.'!B3:G29,MATCH(9,B4:B30,0),4)</f>
        <v>9.9999999999999645E-2</v>
      </c>
      <c r="G12" s="75">
        <f>INDEX('4s.bezr.pow.'!B3:G29,MATCH(9,B4:B30,0),5)</f>
        <v>7.1</v>
      </c>
      <c r="H12" s="24">
        <f>INDEX('4s.bezr.pow.'!B3:G29,MATCH(9,B4:B30,0),6)</f>
        <v>0.70000000000000018</v>
      </c>
    </row>
    <row r="13" spans="1:8" x14ac:dyDescent="0.2">
      <c r="A13" s="25">
        <v>10</v>
      </c>
      <c r="B13" s="6">
        <f>RANK('4s.bezr.pow.'!C12,'4s.bezr.pow.'!$C$3:'4s.bezr.pow.'!$C$29,1)+COUNTIF('4s.bezr.pow.'!$C$3:'4s.bezr.pow.'!C12,'4s.bezr.pow.'!C12)-1</f>
        <v>26</v>
      </c>
      <c r="C13" s="5" t="str">
        <f>INDEX('4s.bezr.pow.'!B3:G29,MATCH(10,B4:B30,0),1)</f>
        <v>Powiat krośnieński</v>
      </c>
      <c r="D13" s="8">
        <f>INDEX('4s.bezr.pow.'!B3:G29,MATCH(10,B4:B30,0),2)</f>
        <v>8</v>
      </c>
      <c r="E13" s="75">
        <f>INDEX('4s.bezr.pow.'!B3:G29,MATCH(10,B4:B30,0),3)</f>
        <v>8</v>
      </c>
      <c r="F13" s="24">
        <f>INDEX('4s.bezr.pow.'!B3:G29,MATCH(10,B4:B30,0),4)</f>
        <v>0</v>
      </c>
      <c r="G13" s="75">
        <f>INDEX('4s.bezr.pow.'!B3:G29,MATCH(10,B4:B30,0),5)</f>
        <v>7.2</v>
      </c>
      <c r="H13" s="24">
        <f>INDEX('4s.bezr.pow.'!B3:G29,MATCH(10,B4:B30,0),6)</f>
        <v>0.79999999999999982</v>
      </c>
    </row>
    <row r="14" spans="1:8" x14ac:dyDescent="0.2">
      <c r="A14" s="25">
        <v>11</v>
      </c>
      <c r="B14" s="6">
        <f>RANK('4s.bezr.pow.'!C13,'4s.bezr.pow.'!$C$3:'4s.bezr.pow.'!$C$29,1)+COUNTIF('4s.bezr.pow.'!$C$3:'4s.bezr.pow.'!C13,'4s.bezr.pow.'!C13)-1</f>
        <v>21</v>
      </c>
      <c r="C14" s="5" t="str">
        <f>INDEX('4s.bezr.pow.'!B3:G29,MATCH(11,B4:B30,0),1)</f>
        <v>Powiat rzeszowski</v>
      </c>
      <c r="D14" s="8">
        <f>INDEX('4s.bezr.pow.'!B3:G29,MATCH(11,B4:B30,0),2)</f>
        <v>8.1</v>
      </c>
      <c r="E14" s="75">
        <f>INDEX('4s.bezr.pow.'!B3:G29,MATCH(11,B4:B30,0),3)</f>
        <v>8</v>
      </c>
      <c r="F14" s="24">
        <f>INDEX('4s.bezr.pow.'!B3:G29,MATCH(11,B4:B30,0),4)</f>
        <v>9.9999999999999645E-2</v>
      </c>
      <c r="G14" s="75">
        <f>INDEX('4s.bezr.pow.'!B3:G29,MATCH(11,B4:B30,0),5)</f>
        <v>8.5</v>
      </c>
      <c r="H14" s="24">
        <f>INDEX('4s.bezr.pow.'!B3:G29,MATCH(11,B4:B30,0),6)</f>
        <v>-0.40000000000000036</v>
      </c>
    </row>
    <row r="15" spans="1:8" x14ac:dyDescent="0.2">
      <c r="A15" s="25">
        <v>12</v>
      </c>
      <c r="B15" s="6">
        <f>RANK('4s.bezr.pow.'!C14,'4s.bezr.pow.'!$C$3:'4s.bezr.pow.'!$C$29,1)+COUNTIF('4s.bezr.pow.'!$C$3:'4s.bezr.pow.'!C14,'4s.bezr.pow.'!C14)-1</f>
        <v>16</v>
      </c>
      <c r="C15" s="37" t="str">
        <f>INDEX('4s.bezr.pow.'!B3:G29,MATCH(12,B4:B30,0),1)</f>
        <v>Powiat kolbuszowski</v>
      </c>
      <c r="D15" s="8">
        <f>INDEX('4s.bezr.pow.'!B3:G29,MATCH(12,B4:B30,0),2)</f>
        <v>8.1999999999999993</v>
      </c>
      <c r="E15" s="75">
        <f>INDEX('4s.bezr.pow.'!B3:G29,MATCH(12,B4:B30,0),3)</f>
        <v>8.1999999999999993</v>
      </c>
      <c r="F15" s="24">
        <f>INDEX('4s.bezr.pow.'!B3:G29,MATCH(12,B4:B30,0),4)</f>
        <v>0</v>
      </c>
      <c r="G15" s="75">
        <f>INDEX('4s.bezr.pow.'!B3:G29,MATCH(12,B4:B30,0),5)</f>
        <v>8.8000000000000007</v>
      </c>
      <c r="H15" s="24">
        <f>INDEX('4s.bezr.pow.'!B3:G29,MATCH(12,B4:B30,0),6)</f>
        <v>-0.60000000000000142</v>
      </c>
    </row>
    <row r="16" spans="1:8" x14ac:dyDescent="0.2">
      <c r="A16" s="25">
        <v>13</v>
      </c>
      <c r="B16" s="6">
        <f>RANK('4s.bezr.pow.'!C15,'4s.bezr.pow.'!$C$3:'4s.bezr.pow.'!$C$29,1)+COUNTIF('4s.bezr.pow.'!$C$3:'4s.bezr.pow.'!C15,'4s.bezr.pow.'!C15)-1</f>
        <v>15</v>
      </c>
      <c r="C16" s="5" t="str">
        <f>INDEX('4s.bezr.pow.'!B3:G29,MATCH(13,B4:B30,0),1)</f>
        <v>PODKARPACKIE</v>
      </c>
      <c r="D16" s="8">
        <f>INDEX('4s.bezr.pow.'!B3:G29,MATCH(13,B4:B30,0),2)</f>
        <v>8.4</v>
      </c>
      <c r="E16" s="75">
        <f>INDEX('4s.bezr.pow.'!B3:G29,MATCH(13,B4:B30,0),3)</f>
        <v>8.4</v>
      </c>
      <c r="F16" s="24">
        <f>INDEX('4s.bezr.pow.'!B3:G29,MATCH(13,B4:B30,0),4)</f>
        <v>0</v>
      </c>
      <c r="G16" s="75">
        <f>INDEX('4s.bezr.pow.'!B3:G29,MATCH(13,B4:B30,0),5)</f>
        <v>8.8000000000000007</v>
      </c>
      <c r="H16" s="24">
        <f>INDEX('4s.bezr.pow.'!B3:G29,MATCH(13,B4:B30,0),6)</f>
        <v>-0.40000000000000036</v>
      </c>
    </row>
    <row r="17" spans="1:8" x14ac:dyDescent="0.2">
      <c r="A17" s="25">
        <v>14</v>
      </c>
      <c r="B17" s="6">
        <f>RANK('4s.bezr.pow.'!C16,'4s.bezr.pow.'!$C$3:'4s.bezr.pow.'!$C$29,1)+COUNTIF('4s.bezr.pow.'!$C$3:'4s.bezr.pow.'!C16,'4s.bezr.pow.'!C16)-1</f>
        <v>5</v>
      </c>
      <c r="C17" s="5" t="str">
        <f>INDEX('4s.bezr.pow.'!B3:G29,MATCH(14,B4:B30,0),1)</f>
        <v>Powiat m.Przemyśl</v>
      </c>
      <c r="D17" s="8">
        <f>INDEX('4s.bezr.pow.'!B3:G29,MATCH(14,B4:B30,0),2)</f>
        <v>9.1</v>
      </c>
      <c r="E17" s="75">
        <f>INDEX('4s.bezr.pow.'!B3:G29,MATCH(14,B4:B30,0),3)</f>
        <v>9.1999999999999993</v>
      </c>
      <c r="F17" s="24">
        <f>INDEX('4s.bezr.pow.'!B3:G29,MATCH(14,B4:B30,0),4)</f>
        <v>-9.9999999999999645E-2</v>
      </c>
      <c r="G17" s="75">
        <f>INDEX('4s.bezr.pow.'!B3:G29,MATCH(14,B4:B30,0),5)</f>
        <v>9.6</v>
      </c>
      <c r="H17" s="24">
        <f>INDEX('4s.bezr.pow.'!B3:G29,MATCH(14,B4:B30,0),6)</f>
        <v>-0.5</v>
      </c>
    </row>
    <row r="18" spans="1:8" x14ac:dyDescent="0.2">
      <c r="A18" s="25">
        <v>15</v>
      </c>
      <c r="B18" s="6">
        <f>RANK('4s.bezr.pow.'!C17,'4s.bezr.pow.'!$C$3:'4s.bezr.pow.'!$C$29,1)+COUNTIF('4s.bezr.pow.'!$C$3:'4s.bezr.pow.'!C17,'4s.bezr.pow.'!C17)-1</f>
        <v>25</v>
      </c>
      <c r="C18" s="5" t="str">
        <f>INDEX('4s.bezr.pow.'!B3:G29,MATCH(15,B4:B30,0),1)</f>
        <v>Powiat łańcucki</v>
      </c>
      <c r="D18" s="8">
        <f>INDEX('4s.bezr.pow.'!B3:G29,MATCH(15,B4:B30,0),2)</f>
        <v>9.6</v>
      </c>
      <c r="E18" s="75">
        <f>INDEX('4s.bezr.pow.'!B3:G29,MATCH(15,B4:B30,0),3)</f>
        <v>9.5</v>
      </c>
      <c r="F18" s="24">
        <f>INDEX('4s.bezr.pow.'!B3:G29,MATCH(15,B4:B30,0),4)</f>
        <v>9.9999999999999645E-2</v>
      </c>
      <c r="G18" s="75">
        <f>INDEX('4s.bezr.pow.'!B3:G29,MATCH(15,B4:B30,0),5)</f>
        <v>10.5</v>
      </c>
      <c r="H18" s="24">
        <f>INDEX('4s.bezr.pow.'!B3:G29,MATCH(15,B4:B30,0),6)</f>
        <v>-0.90000000000000036</v>
      </c>
    </row>
    <row r="19" spans="1:8" x14ac:dyDescent="0.2">
      <c r="A19" s="25">
        <v>16</v>
      </c>
      <c r="B19" s="6">
        <f>RANK('4s.bezr.pow.'!C18,'4s.bezr.pow.'!$C$3:'4s.bezr.pow.'!$C$29,1)+COUNTIF('4s.bezr.pow.'!$C$3:'4s.bezr.pow.'!C18,'4s.bezr.pow.'!C18)-1</f>
        <v>23</v>
      </c>
      <c r="C19" s="5" t="str">
        <f>INDEX('4s.bezr.pow.'!B3:G29,MATCH(16,B4:B30,0),1)</f>
        <v>Powiat lubaczowski</v>
      </c>
      <c r="D19" s="8">
        <f>INDEX('4s.bezr.pow.'!B3:G29,MATCH(16,B4:B30,0),2)</f>
        <v>10</v>
      </c>
      <c r="E19" s="75">
        <f>INDEX('4s.bezr.pow.'!B3:G29,MATCH(16,B4:B30,0),3)</f>
        <v>9.6999999999999993</v>
      </c>
      <c r="F19" s="24">
        <f>INDEX('4s.bezr.pow.'!B3:G29,MATCH(16,B4:B30,0),4)</f>
        <v>0.30000000000000071</v>
      </c>
      <c r="G19" s="75">
        <f>INDEX('4s.bezr.pow.'!B3:G29,MATCH(16,B4:B30,0),5)</f>
        <v>10</v>
      </c>
      <c r="H19" s="24">
        <f>INDEX('4s.bezr.pow.'!B3:G29,MATCH(16,B4:B30,0),6)</f>
        <v>0</v>
      </c>
    </row>
    <row r="20" spans="1:8" x14ac:dyDescent="0.2">
      <c r="A20" s="25">
        <v>17</v>
      </c>
      <c r="B20" s="6">
        <f>RANK('4s.bezr.pow.'!C19,'4s.bezr.pow.'!$C$3:'4s.bezr.pow.'!$C$29,1)+COUNTIF('4s.bezr.pow.'!$C$3:'4s.bezr.pow.'!C19,'4s.bezr.pow.'!C19)-1</f>
        <v>20</v>
      </c>
      <c r="C20" s="5" t="str">
        <f>INDEX('4s.bezr.pow.'!B3:G29,MATCH(17,B4:B30,0),1)</f>
        <v>Powiat jarosławski</v>
      </c>
      <c r="D20" s="8">
        <f>INDEX('4s.bezr.pow.'!B3:G29,MATCH(17,B4:B30,0),2)</f>
        <v>10.6</v>
      </c>
      <c r="E20" s="75">
        <f>INDEX('4s.bezr.pow.'!B3:G29,MATCH(17,B4:B30,0),3)</f>
        <v>10.7</v>
      </c>
      <c r="F20" s="24">
        <f>INDEX('4s.bezr.pow.'!B3:G29,MATCH(17,B4:B30,0),4)</f>
        <v>-9.9999999999999645E-2</v>
      </c>
      <c r="G20" s="75">
        <f>INDEX('4s.bezr.pow.'!B3:G29,MATCH(17,B4:B30,0),5)</f>
        <v>11.6</v>
      </c>
      <c r="H20" s="24">
        <f>INDEX('4s.bezr.pow.'!B3:G29,MATCH(17,B4:B30,0),6)</f>
        <v>-1</v>
      </c>
    </row>
    <row r="21" spans="1:8" x14ac:dyDescent="0.2">
      <c r="A21" s="25">
        <v>18</v>
      </c>
      <c r="B21" s="6">
        <f>RANK('4s.bezr.pow.'!C20,'4s.bezr.pow.'!$C$3:'4s.bezr.pow.'!$C$29,1)+COUNTIF('4s.bezr.pow.'!$C$3:'4s.bezr.pow.'!C20,'4s.bezr.pow.'!C20)-1</f>
        <v>18</v>
      </c>
      <c r="C21" s="5" t="str">
        <f>INDEX('4s.bezr.pow.'!B3:G29,MATCH(18,B4:B30,0),1)</f>
        <v>Powiat ropczycko-sędziszowski</v>
      </c>
      <c r="D21" s="8">
        <f>INDEX('4s.bezr.pow.'!B3:G29,MATCH(18,B4:B30,0),2)</f>
        <v>10.7</v>
      </c>
      <c r="E21" s="75">
        <f>INDEX('4s.bezr.pow.'!B3:G29,MATCH(18,B4:B30,0),3)</f>
        <v>10.7</v>
      </c>
      <c r="F21" s="24">
        <f>INDEX('4s.bezr.pow.'!B3:G29,MATCH(18,B4:B30,0),4)</f>
        <v>0</v>
      </c>
      <c r="G21" s="75">
        <f>INDEX('4s.bezr.pow.'!B3:G29,MATCH(18,B4:B30,0),5)</f>
        <v>12.2</v>
      </c>
      <c r="H21" s="24">
        <f>INDEX('4s.bezr.pow.'!B3:G29,MATCH(18,B4:B30,0),6)</f>
        <v>-1.5</v>
      </c>
    </row>
    <row r="22" spans="1:8" x14ac:dyDescent="0.2">
      <c r="A22" s="25">
        <v>19</v>
      </c>
      <c r="B22" s="6">
        <f>RANK('4s.bezr.pow.'!C21,'4s.bezr.pow.'!$C$3:'4s.bezr.pow.'!$C$29,1)+COUNTIF('4s.bezr.pow.'!$C$3:'4s.bezr.pow.'!C21,'4s.bezr.pow.'!C21)-1</f>
        <v>11</v>
      </c>
      <c r="C22" s="5" t="str">
        <f>INDEX('4s.bezr.pow.'!B3:G29,MATCH(19,B4:B30,0),1)</f>
        <v>Powiat jasielski</v>
      </c>
      <c r="D22" s="8">
        <f>INDEX('4s.bezr.pow.'!B3:G29,MATCH(19,B4:B30,0),2)</f>
        <v>12.4</v>
      </c>
      <c r="E22" s="75">
        <f>INDEX('4s.bezr.pow.'!B3:G29,MATCH(19,B4:B30,0),3)</f>
        <v>12.3</v>
      </c>
      <c r="F22" s="24">
        <f>INDEX('4s.bezr.pow.'!B3:G29,MATCH(19,B4:B30,0),4)</f>
        <v>9.9999999999999645E-2</v>
      </c>
      <c r="G22" s="75">
        <f>INDEX('4s.bezr.pow.'!B3:G29,MATCH(19,B4:B30,0),5)</f>
        <v>12.5</v>
      </c>
      <c r="H22" s="24">
        <f>INDEX('4s.bezr.pow.'!B3:G29,MATCH(19,B4:B30,0),6)</f>
        <v>-9.9999999999999645E-2</v>
      </c>
    </row>
    <row r="23" spans="1:8" x14ac:dyDescent="0.2">
      <c r="A23" s="25">
        <v>20</v>
      </c>
      <c r="B23" s="6">
        <f>RANK('4s.bezr.pow.'!C22,'4s.bezr.pow.'!$C$3:'4s.bezr.pow.'!$C$29,1)+COUNTIF('4s.bezr.pow.'!$C$3:'4s.bezr.pow.'!C22,'4s.bezr.pow.'!C22)-1</f>
        <v>9</v>
      </c>
      <c r="C23" s="5" t="str">
        <f>INDEX('4s.bezr.pow.'!B3:G29,MATCH(20,B4:B30,0),1)</f>
        <v>Powiat przeworski</v>
      </c>
      <c r="D23" s="8">
        <f>INDEX('4s.bezr.pow.'!B3:G29,MATCH(20,B4:B30,0),2)</f>
        <v>13.7</v>
      </c>
      <c r="E23" s="75">
        <f>INDEX('4s.bezr.pow.'!B3:G29,MATCH(20,B4:B30,0),3)</f>
        <v>13.2</v>
      </c>
      <c r="F23" s="24">
        <f>INDEX('4s.bezr.pow.'!B3:G29,MATCH(20,B4:B30,0),4)</f>
        <v>0.5</v>
      </c>
      <c r="G23" s="75">
        <f>INDEX('4s.bezr.pow.'!B3:G29,MATCH(20,B4:B30,0),5)</f>
        <v>14.5</v>
      </c>
      <c r="H23" s="24">
        <f>INDEX('4s.bezr.pow.'!B3:G29,MATCH(20,B4:B30,0),6)</f>
        <v>-0.80000000000000071</v>
      </c>
    </row>
    <row r="24" spans="1:8" x14ac:dyDescent="0.2">
      <c r="A24" s="25">
        <v>21</v>
      </c>
      <c r="B24" s="6">
        <f>RANK('4s.bezr.pow.'!C23,'4s.bezr.pow.'!$C$3:'4s.bezr.pow.'!$C$29,1)+COUNTIF('4s.bezr.pow.'!$C$3:'4s.bezr.pow.'!C23,'4s.bezr.pow.'!C23)-1</f>
        <v>4</v>
      </c>
      <c r="C24" s="5" t="str">
        <f>INDEX('4s.bezr.pow.'!B3:G29,MATCH(21,B4:B30,0),1)</f>
        <v>Powiat leżajski</v>
      </c>
      <c r="D24" s="8">
        <f>INDEX('4s.bezr.pow.'!B3:G29,MATCH(21,B4:B30,0),2)</f>
        <v>14.3</v>
      </c>
      <c r="E24" s="75">
        <f>INDEX('4s.bezr.pow.'!B3:G29,MATCH(21,B4:B30,0),3)</f>
        <v>14.2</v>
      </c>
      <c r="F24" s="24">
        <f>INDEX('4s.bezr.pow.'!B3:G29,MATCH(21,B4:B30,0),4)</f>
        <v>0.10000000000000142</v>
      </c>
      <c r="G24" s="75">
        <f>INDEX('4s.bezr.pow.'!B3:G29,MATCH(21,B4:B30,0),5)</f>
        <v>15.4</v>
      </c>
      <c r="H24" s="24">
        <f>INDEX('4s.bezr.pow.'!B3:G29,MATCH(21,B4:B30,0),6)</f>
        <v>-1.0999999999999996</v>
      </c>
    </row>
    <row r="25" spans="1:8" x14ac:dyDescent="0.2">
      <c r="A25" s="25">
        <v>22</v>
      </c>
      <c r="B25" s="6">
        <f>RANK('4s.bezr.pow.'!C24,'4s.bezr.pow.'!$C$3:'4s.bezr.pow.'!$C$29,1)+COUNTIF('4s.bezr.pow.'!$C$3:'4s.bezr.pow.'!C24,'4s.bezr.pow.'!C24)-1</f>
        <v>24</v>
      </c>
      <c r="C25" s="5" t="str">
        <f>INDEX('4s.bezr.pow.'!B3:G29,MATCH(22,B4:B30,0),1)</f>
        <v>Powiat bieszczadzki</v>
      </c>
      <c r="D25" s="8">
        <f>INDEX('4s.bezr.pow.'!B3:G29,MATCH(22,B4:B30,0),2)</f>
        <v>14.9</v>
      </c>
      <c r="E25" s="75">
        <f>INDEX('4s.bezr.pow.'!B3:G29,MATCH(22,B4:B30,0),3)</f>
        <v>14.7</v>
      </c>
      <c r="F25" s="24">
        <f>INDEX('4s.bezr.pow.'!B3:G29,MATCH(22,B4:B30,0),4)</f>
        <v>0.20000000000000107</v>
      </c>
      <c r="G25" s="75">
        <f>INDEX('4s.bezr.pow.'!B3:G29,MATCH(22,B4:B30,0),5)</f>
        <v>15.2</v>
      </c>
      <c r="H25" s="24">
        <f>INDEX('4s.bezr.pow.'!B3:G29,MATCH(22,B4:B30,0),6)</f>
        <v>-0.29999999999999893</v>
      </c>
    </row>
    <row r="26" spans="1:8" x14ac:dyDescent="0.2">
      <c r="A26" s="25">
        <v>23</v>
      </c>
      <c r="B26" s="6">
        <f>RANK('4s.bezr.pow.'!C25,'4s.bezr.pow.'!$C$3:'4s.bezr.pow.'!$C$29,1)+COUNTIF('4s.bezr.pow.'!$C$3:'4s.bezr.pow.'!C25,'4s.bezr.pow.'!C25)-1</f>
        <v>8</v>
      </c>
      <c r="C26" s="5" t="str">
        <f>INDEX('4s.bezr.pow.'!B3:G29,MATCH(23,B4:B30,0),1)</f>
        <v>Powiat przemyski</v>
      </c>
      <c r="D26" s="8">
        <f>INDEX('4s.bezr.pow.'!B3:G29,MATCH(23,B4:B30,0),2)</f>
        <v>15.9</v>
      </c>
      <c r="E26" s="75">
        <f>INDEX('4s.bezr.pow.'!B3:G29,MATCH(23,B4:B30,0),3)</f>
        <v>16.2</v>
      </c>
      <c r="F26" s="24">
        <f>INDEX('4s.bezr.pow.'!B3:G29,MATCH(23,B4:B30,0),4)</f>
        <v>-0.29999999999999893</v>
      </c>
      <c r="G26" s="75">
        <f>INDEX('4s.bezr.pow.'!B3:G29,MATCH(23,B4:B30,0),5)</f>
        <v>17</v>
      </c>
      <c r="H26" s="24">
        <f>INDEX('4s.bezr.pow.'!B3:G29,MATCH(23,B4:B30,0),6)</f>
        <v>-1.0999999999999996</v>
      </c>
    </row>
    <row r="27" spans="1:8" x14ac:dyDescent="0.2">
      <c r="A27" s="25">
        <v>24</v>
      </c>
      <c r="B27" s="6">
        <f>RANK('4s.bezr.pow.'!C26,'4s.bezr.pow.'!$C$3:'4s.bezr.pow.'!$C$29,1)+COUNTIF('4s.bezr.pow.'!$C$3:'4s.bezr.pow.'!C26,'4s.bezr.pow.'!C26)-1</f>
        <v>1</v>
      </c>
      <c r="C27" s="5" t="str">
        <f>INDEX('4s.bezr.pow.'!B3:G29,MATCH(24,B4:B30,0),1)</f>
        <v>Powiat strzyżowski</v>
      </c>
      <c r="D27" s="8">
        <f>INDEX('4s.bezr.pow.'!B3:G29,MATCH(24,B4:B30,0),2)</f>
        <v>16.8</v>
      </c>
      <c r="E27" s="75">
        <f>INDEX('4s.bezr.pow.'!B3:G29,MATCH(24,B4:B30,0),3)</f>
        <v>16.8</v>
      </c>
      <c r="F27" s="24">
        <f>INDEX('4s.bezr.pow.'!B3:G29,MATCH(24,B4:B30,0),4)</f>
        <v>0</v>
      </c>
      <c r="G27" s="75">
        <f>INDEX('4s.bezr.pow.'!B3:G29,MATCH(24,B4:B30,0),5)</f>
        <v>17.8</v>
      </c>
      <c r="H27" s="24">
        <f>INDEX('4s.bezr.pow.'!B3:G29,MATCH(24,B4:B30,0),6)</f>
        <v>-1</v>
      </c>
    </row>
    <row r="28" spans="1:8" x14ac:dyDescent="0.2">
      <c r="A28" s="25">
        <v>25</v>
      </c>
      <c r="B28" s="6">
        <f>RANK('4s.bezr.pow.'!C27,'4s.bezr.pow.'!$C$3:'4s.bezr.pow.'!$C$29,1)+COUNTIF('4s.bezr.pow.'!$C$3:'4s.bezr.pow.'!C27,'4s.bezr.pow.'!C27)-1</f>
        <v>14</v>
      </c>
      <c r="C28" s="5" t="str">
        <f>INDEX('4s.bezr.pow.'!B3:G29,MATCH(25,B4:B30,0),1)</f>
        <v>Powiat niżański</v>
      </c>
      <c r="D28" s="8">
        <f>INDEX('4s.bezr.pow.'!B3:G29,MATCH(25,B4:B30,0),2)</f>
        <v>17.100000000000001</v>
      </c>
      <c r="E28" s="75">
        <f>INDEX('4s.bezr.pow.'!B3:G29,MATCH(25,B4:B30,0),3)</f>
        <v>17</v>
      </c>
      <c r="F28" s="24">
        <f>INDEX('4s.bezr.pow.'!B3:G29,MATCH(25,B4:B30,0),4)</f>
        <v>0.10000000000000142</v>
      </c>
      <c r="G28" s="75">
        <f>INDEX('4s.bezr.pow.'!B3:G29,MATCH(25,B4:B30,0),5)</f>
        <v>17.7</v>
      </c>
      <c r="H28" s="24">
        <f>INDEX('4s.bezr.pow.'!B3:G29,MATCH(25,B4:B30,0),6)</f>
        <v>-0.59999999999999787</v>
      </c>
    </row>
    <row r="29" spans="1:8" ht="15" x14ac:dyDescent="0.25">
      <c r="A29" s="25">
        <v>26</v>
      </c>
      <c r="B29" s="22">
        <f>RANK('4s.bezr.pow.'!C28,'4s.bezr.pow.'!$C$3:'4s.bezr.pow.'!$C$29,1)+COUNTIF('4s.bezr.pow.'!$C$3:'4s.bezr.pow.'!C28,'4s.bezr.pow.'!C28)-1</f>
        <v>2</v>
      </c>
      <c r="C29" s="23" t="str">
        <f>INDEX('4s.bezr.pow.'!B3:G29,MATCH(26,B4:B30,0),1)</f>
        <v>Powiat leski</v>
      </c>
      <c r="D29" s="34">
        <f>INDEX('4s.bezr.pow.'!B3:G29,MATCH(26,B4:B30,0),2)</f>
        <v>17.3</v>
      </c>
      <c r="E29" s="71">
        <f>INDEX('4s.bezr.pow.'!B3:G29,MATCH(26,B4:B30,0),3)</f>
        <v>17.8</v>
      </c>
      <c r="F29" s="38">
        <f>INDEX('4s.bezr.pow.'!B3:G29,MATCH(26,B4:B30,0),4)</f>
        <v>-0.5</v>
      </c>
      <c r="G29" s="71">
        <f>INDEX('4s.bezr.pow.'!B3:G29,MATCH(26,B4:B30,0),5)</f>
        <v>17.7</v>
      </c>
      <c r="H29" s="38">
        <f>INDEX('4s.bezr.pow.'!B3:G29,MATCH(26,B4:B30,0),6)</f>
        <v>-0.39999999999999858</v>
      </c>
    </row>
    <row r="30" spans="1:8" x14ac:dyDescent="0.2">
      <c r="A30" s="25">
        <v>27</v>
      </c>
      <c r="B30" s="39">
        <f>RANK('4s.bezr.pow.'!C29,'4s.bezr.pow.'!$C$3:'4s.bezr.pow.'!$C$29,1)+COUNTIF('4s.bezr.pow.'!$C$3:'4s.bezr.pow.'!C29,'4s.bezr.pow.'!C29)-1</f>
        <v>7</v>
      </c>
      <c r="C30" s="40" t="str">
        <f>INDEX('4s.bezr.pow.'!B3:G29,MATCH(27,B4:B30,0),1)</f>
        <v>Powiat brzozowski</v>
      </c>
      <c r="D30" s="8">
        <f>INDEX('4s.bezr.pow.'!B3:G29,MATCH(27,B4:B30,0),2)</f>
        <v>19.3</v>
      </c>
      <c r="E30" s="75">
        <f>INDEX('4s.bezr.pow.'!B3:G29,MATCH(27,B4:B30,0),3)</f>
        <v>19.100000000000001</v>
      </c>
      <c r="F30" s="8">
        <f>INDEX('4s.bezr.pow.'!B3:G29,MATCH(27,B4:B30,0),4)</f>
        <v>0.19999999999999929</v>
      </c>
      <c r="G30" s="75">
        <f>INDEX('4s.bezr.pow.'!B3:G29,MATCH(27,B4:B30,0),5)</f>
        <v>20.7</v>
      </c>
      <c r="H30" s="8">
        <f>INDEX('4s.bezr.pow.'!B3:G29,MATCH(27,B4:B30,0),6)</f>
        <v>-1.3999999999999986</v>
      </c>
    </row>
    <row r="31" spans="1:8" x14ac:dyDescent="0.2">
      <c r="C31" s="52" t="s">
        <v>102</v>
      </c>
    </row>
    <row r="32" spans="1:8" x14ac:dyDescent="0.2">
      <c r="C32" s="52"/>
    </row>
  </sheetData>
  <pageMargins left="0" right="0" top="0.31496062992125984" bottom="0" header="0" footer="0"/>
  <pageSetup paperSize="9" scale="7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28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5.28515625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3" style="3" customWidth="1"/>
    <col min="9" max="9" width="24.5703125" style="3" customWidth="1"/>
    <col min="10" max="10" width="16" style="3" customWidth="1"/>
    <col min="11" max="11" width="17.42578125" style="3" customWidth="1"/>
    <col min="12" max="12" width="14.42578125" style="3" customWidth="1"/>
    <col min="13" max="14" width="3" style="3" customWidth="1"/>
    <col min="15" max="16384" width="9.140625" style="3"/>
  </cols>
  <sheetData>
    <row r="1" spans="1:12" x14ac:dyDescent="0.2">
      <c r="B1" s="2" t="s">
        <v>31</v>
      </c>
      <c r="I1" s="3" t="s">
        <v>86</v>
      </c>
    </row>
    <row r="2" spans="1:12" ht="86.25" customHeight="1" x14ac:dyDescent="0.2">
      <c r="B2" s="55" t="s">
        <v>27</v>
      </c>
      <c r="C2" s="56" t="s">
        <v>136</v>
      </c>
      <c r="D2" s="57" t="s">
        <v>121</v>
      </c>
      <c r="E2" s="56" t="s">
        <v>28</v>
      </c>
      <c r="F2" s="57" t="s">
        <v>137</v>
      </c>
      <c r="G2" s="56" t="s">
        <v>26</v>
      </c>
      <c r="I2" s="55" t="s">
        <v>27</v>
      </c>
      <c r="J2" s="56" t="str">
        <f>T('1bezr.'!C2)</f>
        <v>liczba bezrobotnych ogółem stan na 31 VII '23 r.</v>
      </c>
      <c r="K2" s="56" t="str">
        <f>T(C2)</f>
        <v>liczba bezrobotnych zam. na wsi stan na 31 VII '23 r.</v>
      </c>
      <c r="L2" s="56" t="s">
        <v>95</v>
      </c>
    </row>
    <row r="3" spans="1:12" x14ac:dyDescent="0.2">
      <c r="A3" s="3">
        <v>1</v>
      </c>
      <c r="B3" s="5" t="s">
        <v>0</v>
      </c>
      <c r="C3" s="13">
        <v>627</v>
      </c>
      <c r="D3" s="61">
        <v>625</v>
      </c>
      <c r="E3" s="6">
        <f t="shared" ref="E3:E23" si="0">SUM(C3)-D3</f>
        <v>2</v>
      </c>
      <c r="F3" s="61">
        <v>642</v>
      </c>
      <c r="G3" s="6">
        <f t="shared" ref="G3:G23" si="1">SUM(C3)-F3</f>
        <v>-15</v>
      </c>
      <c r="H3" s="7"/>
      <c r="I3" s="5" t="s">
        <v>0</v>
      </c>
      <c r="J3" s="6">
        <f>SUM('1bezr.'!C3)</f>
        <v>997</v>
      </c>
      <c r="K3" s="6">
        <f>SUM(C3)</f>
        <v>627</v>
      </c>
      <c r="L3" s="8">
        <f t="shared" ref="L3:L23" si="2">SUM(K3)/J3*100</f>
        <v>62.888665997993989</v>
      </c>
    </row>
    <row r="4" spans="1:12" x14ac:dyDescent="0.2">
      <c r="A4" s="3">
        <v>2</v>
      </c>
      <c r="B4" s="5" t="s">
        <v>1</v>
      </c>
      <c r="C4" s="14">
        <v>3304</v>
      </c>
      <c r="D4" s="61">
        <v>3274</v>
      </c>
      <c r="E4" s="6">
        <f t="shared" si="0"/>
        <v>30</v>
      </c>
      <c r="F4" s="61">
        <v>3612</v>
      </c>
      <c r="G4" s="6">
        <f t="shared" si="1"/>
        <v>-308</v>
      </c>
      <c r="H4" s="7"/>
      <c r="I4" s="5" t="s">
        <v>1</v>
      </c>
      <c r="J4" s="6">
        <f>SUM('1bezr.'!C4)</f>
        <v>3608</v>
      </c>
      <c r="K4" s="6">
        <f t="shared" ref="K4:K22" si="3">SUM(C4)</f>
        <v>3304</v>
      </c>
      <c r="L4" s="8">
        <f t="shared" si="2"/>
        <v>91.574279379157431</v>
      </c>
    </row>
    <row r="5" spans="1:12" x14ac:dyDescent="0.2">
      <c r="A5" s="3">
        <v>3</v>
      </c>
      <c r="B5" s="5" t="s">
        <v>2</v>
      </c>
      <c r="C5" s="15">
        <v>1386</v>
      </c>
      <c r="D5" s="61">
        <v>1399</v>
      </c>
      <c r="E5" s="6">
        <f t="shared" si="0"/>
        <v>-13</v>
      </c>
      <c r="F5" s="61">
        <v>1431</v>
      </c>
      <c r="G5" s="6">
        <f t="shared" si="1"/>
        <v>-45</v>
      </c>
      <c r="H5" s="7"/>
      <c r="I5" s="5" t="s">
        <v>2</v>
      </c>
      <c r="J5" s="6">
        <f>SUM('1bezr.'!C5)</f>
        <v>2386</v>
      </c>
      <c r="K5" s="6">
        <f t="shared" si="3"/>
        <v>1386</v>
      </c>
      <c r="L5" s="8">
        <f t="shared" si="2"/>
        <v>58.088851634534791</v>
      </c>
    </row>
    <row r="6" spans="1:12" x14ac:dyDescent="0.2">
      <c r="A6" s="3">
        <v>4</v>
      </c>
      <c r="B6" s="5" t="s">
        <v>3</v>
      </c>
      <c r="C6" s="15">
        <v>2601</v>
      </c>
      <c r="D6" s="61">
        <v>2621</v>
      </c>
      <c r="E6" s="6">
        <f t="shared" si="0"/>
        <v>-20</v>
      </c>
      <c r="F6" s="61">
        <v>2863</v>
      </c>
      <c r="G6" s="6">
        <f t="shared" si="1"/>
        <v>-262</v>
      </c>
      <c r="H6" s="7"/>
      <c r="I6" s="5" t="s">
        <v>3</v>
      </c>
      <c r="J6" s="6">
        <f>SUM('1bezr.'!C6)</f>
        <v>4222</v>
      </c>
      <c r="K6" s="6">
        <f t="shared" si="3"/>
        <v>2601</v>
      </c>
      <c r="L6" s="8">
        <f t="shared" si="2"/>
        <v>61.605873993368078</v>
      </c>
    </row>
    <row r="7" spans="1:12" x14ac:dyDescent="0.2">
      <c r="A7" s="3">
        <v>5</v>
      </c>
      <c r="B7" s="5" t="s">
        <v>4</v>
      </c>
      <c r="C7" s="15">
        <v>3321</v>
      </c>
      <c r="D7" s="61">
        <v>3321</v>
      </c>
      <c r="E7" s="6">
        <f t="shared" si="0"/>
        <v>0</v>
      </c>
      <c r="F7" s="61">
        <v>3299</v>
      </c>
      <c r="G7" s="6">
        <f t="shared" si="1"/>
        <v>22</v>
      </c>
      <c r="H7" s="7"/>
      <c r="I7" s="5" t="s">
        <v>4</v>
      </c>
      <c r="J7" s="6">
        <f>SUM('1bezr.'!C7)</f>
        <v>4709</v>
      </c>
      <c r="K7" s="6">
        <f t="shared" si="3"/>
        <v>3321</v>
      </c>
      <c r="L7" s="8">
        <f t="shared" si="2"/>
        <v>70.524527500530894</v>
      </c>
    </row>
    <row r="8" spans="1:12" x14ac:dyDescent="0.2">
      <c r="A8" s="3">
        <v>6</v>
      </c>
      <c r="B8" s="5" t="s">
        <v>5</v>
      </c>
      <c r="C8" s="15">
        <v>1340</v>
      </c>
      <c r="D8" s="61">
        <v>1336</v>
      </c>
      <c r="E8" s="6">
        <f t="shared" si="0"/>
        <v>4</v>
      </c>
      <c r="F8" s="61">
        <v>1423</v>
      </c>
      <c r="G8" s="6">
        <f t="shared" si="1"/>
        <v>-83</v>
      </c>
      <c r="H8" s="7"/>
      <c r="I8" s="5" t="s">
        <v>5</v>
      </c>
      <c r="J8" s="6">
        <f>SUM('1bezr.'!C8)</f>
        <v>1528</v>
      </c>
      <c r="K8" s="6">
        <f t="shared" si="3"/>
        <v>1340</v>
      </c>
      <c r="L8" s="8">
        <f t="shared" si="2"/>
        <v>87.69633507853402</v>
      </c>
    </row>
    <row r="9" spans="1:12" x14ac:dyDescent="0.2">
      <c r="A9" s="3">
        <v>7</v>
      </c>
      <c r="B9" s="9" t="s">
        <v>6</v>
      </c>
      <c r="C9" s="16">
        <v>1890</v>
      </c>
      <c r="D9" s="61">
        <v>1873</v>
      </c>
      <c r="E9" s="6">
        <f t="shared" si="0"/>
        <v>17</v>
      </c>
      <c r="F9" s="61">
        <v>1678</v>
      </c>
      <c r="G9" s="6">
        <f t="shared" si="1"/>
        <v>212</v>
      </c>
      <c r="H9" s="7"/>
      <c r="I9" s="9" t="s">
        <v>6</v>
      </c>
      <c r="J9" s="6">
        <f>SUM('1bezr.'!C9)</f>
        <v>2095</v>
      </c>
      <c r="K9" s="6">
        <f t="shared" si="3"/>
        <v>1890</v>
      </c>
      <c r="L9" s="8">
        <f t="shared" si="2"/>
        <v>90.214797136038186</v>
      </c>
    </row>
    <row r="10" spans="1:12" x14ac:dyDescent="0.2">
      <c r="A10" s="3">
        <v>8</v>
      </c>
      <c r="B10" s="5" t="s">
        <v>7</v>
      </c>
      <c r="C10" s="17">
        <v>1228</v>
      </c>
      <c r="D10" s="61">
        <v>1283</v>
      </c>
      <c r="E10" s="6">
        <f t="shared" si="0"/>
        <v>-55</v>
      </c>
      <c r="F10" s="61">
        <v>1262</v>
      </c>
      <c r="G10" s="6">
        <f>SUM(C10)-F10</f>
        <v>-34</v>
      </c>
      <c r="H10" s="7"/>
      <c r="I10" s="5" t="s">
        <v>7</v>
      </c>
      <c r="J10" s="6">
        <f>SUM('1bezr.'!C10)</f>
        <v>1510</v>
      </c>
      <c r="K10" s="6">
        <f>SUM(C10)</f>
        <v>1228</v>
      </c>
      <c r="L10" s="8">
        <f t="shared" si="2"/>
        <v>81.324503311258283</v>
      </c>
    </row>
    <row r="11" spans="1:12" x14ac:dyDescent="0.2">
      <c r="A11" s="3">
        <v>9</v>
      </c>
      <c r="B11" s="5" t="s">
        <v>8</v>
      </c>
      <c r="C11" s="17">
        <v>2229</v>
      </c>
      <c r="D11" s="61">
        <v>2210</v>
      </c>
      <c r="E11" s="6">
        <f t="shared" si="0"/>
        <v>19</v>
      </c>
      <c r="F11" s="61">
        <v>2427</v>
      </c>
      <c r="G11" s="6">
        <f t="shared" si="1"/>
        <v>-198</v>
      </c>
      <c r="H11" s="7"/>
      <c r="I11" s="5" t="s">
        <v>8</v>
      </c>
      <c r="J11" s="6">
        <f>SUM('1bezr.'!C11)</f>
        <v>2933</v>
      </c>
      <c r="K11" s="6">
        <f t="shared" si="3"/>
        <v>2229</v>
      </c>
      <c r="L11" s="8">
        <f t="shared" si="2"/>
        <v>75.997272417320147</v>
      </c>
    </row>
    <row r="12" spans="1:12" x14ac:dyDescent="0.2">
      <c r="A12" s="3">
        <v>10</v>
      </c>
      <c r="B12" s="5" t="s">
        <v>9</v>
      </c>
      <c r="C12" s="17">
        <v>1062</v>
      </c>
      <c r="D12" s="61">
        <v>1028</v>
      </c>
      <c r="E12" s="6">
        <f t="shared" si="0"/>
        <v>34</v>
      </c>
      <c r="F12" s="61">
        <v>1047</v>
      </c>
      <c r="G12" s="6">
        <f t="shared" si="1"/>
        <v>15</v>
      </c>
      <c r="H12" s="7"/>
      <c r="I12" s="5" t="s">
        <v>9</v>
      </c>
      <c r="J12" s="6">
        <f>SUM('1bezr.'!C12)</f>
        <v>1616</v>
      </c>
      <c r="K12" s="6">
        <f t="shared" si="3"/>
        <v>1062</v>
      </c>
      <c r="L12" s="8">
        <f t="shared" si="2"/>
        <v>65.71782178217822</v>
      </c>
    </row>
    <row r="13" spans="1:12" x14ac:dyDescent="0.2">
      <c r="A13" s="3">
        <v>11</v>
      </c>
      <c r="B13" s="5" t="s">
        <v>10</v>
      </c>
      <c r="C13" s="17">
        <v>1993</v>
      </c>
      <c r="D13" s="61">
        <v>1947</v>
      </c>
      <c r="E13" s="6">
        <f t="shared" si="0"/>
        <v>46</v>
      </c>
      <c r="F13" s="61">
        <v>2175</v>
      </c>
      <c r="G13" s="6">
        <f t="shared" si="1"/>
        <v>-182</v>
      </c>
      <c r="H13" s="7"/>
      <c r="I13" s="5" t="s">
        <v>10</v>
      </c>
      <c r="J13" s="6">
        <f>SUM('1bezr.'!C13)</f>
        <v>2519</v>
      </c>
      <c r="K13" s="6">
        <f t="shared" si="3"/>
        <v>1993</v>
      </c>
      <c r="L13" s="8">
        <f t="shared" si="2"/>
        <v>79.118697895990479</v>
      </c>
    </row>
    <row r="14" spans="1:12" x14ac:dyDescent="0.2">
      <c r="A14" s="3">
        <v>12</v>
      </c>
      <c r="B14" s="5" t="s">
        <v>11</v>
      </c>
      <c r="C14" s="17">
        <v>1403</v>
      </c>
      <c r="D14" s="61">
        <v>1379</v>
      </c>
      <c r="E14" s="6">
        <f t="shared" si="0"/>
        <v>24</v>
      </c>
      <c r="F14" s="61">
        <v>1246</v>
      </c>
      <c r="G14" s="6">
        <f t="shared" si="1"/>
        <v>157</v>
      </c>
      <c r="H14" s="7"/>
      <c r="I14" s="5" t="s">
        <v>11</v>
      </c>
      <c r="J14" s="6">
        <f>SUM('1bezr.'!C14)</f>
        <v>2837</v>
      </c>
      <c r="K14" s="6">
        <f t="shared" si="3"/>
        <v>1403</v>
      </c>
      <c r="L14" s="8">
        <f t="shared" si="2"/>
        <v>49.453648219950651</v>
      </c>
    </row>
    <row r="15" spans="1:12" x14ac:dyDescent="0.2">
      <c r="A15" s="3">
        <v>13</v>
      </c>
      <c r="B15" s="5" t="s">
        <v>12</v>
      </c>
      <c r="C15" s="17">
        <v>1978</v>
      </c>
      <c r="D15" s="61">
        <v>1944</v>
      </c>
      <c r="E15" s="6">
        <f t="shared" si="0"/>
        <v>34</v>
      </c>
      <c r="F15" s="61">
        <v>2033</v>
      </c>
      <c r="G15" s="6">
        <f t="shared" si="1"/>
        <v>-55</v>
      </c>
      <c r="H15" s="7"/>
      <c r="I15" s="5" t="s">
        <v>12</v>
      </c>
      <c r="J15" s="6">
        <f>SUM('1bezr.'!C15)</f>
        <v>3032</v>
      </c>
      <c r="K15" s="6">
        <f t="shared" si="3"/>
        <v>1978</v>
      </c>
      <c r="L15" s="8">
        <f t="shared" si="2"/>
        <v>65.237467018469658</v>
      </c>
    </row>
    <row r="16" spans="1:12" x14ac:dyDescent="0.2">
      <c r="A16" s="3">
        <v>14</v>
      </c>
      <c r="B16" s="5" t="s">
        <v>13</v>
      </c>
      <c r="C16" s="17">
        <v>2719</v>
      </c>
      <c r="D16" s="61">
        <v>2772</v>
      </c>
      <c r="E16" s="6">
        <f t="shared" si="0"/>
        <v>-53</v>
      </c>
      <c r="F16" s="61">
        <v>2954</v>
      </c>
      <c r="G16" s="6">
        <f t="shared" si="1"/>
        <v>-235</v>
      </c>
      <c r="H16" s="7"/>
      <c r="I16" s="5" t="s">
        <v>13</v>
      </c>
      <c r="J16" s="6">
        <f>SUM('1bezr.'!C16)</f>
        <v>2740</v>
      </c>
      <c r="K16" s="6">
        <f t="shared" si="3"/>
        <v>2719</v>
      </c>
      <c r="L16" s="8">
        <f t="shared" si="2"/>
        <v>99.233576642335763</v>
      </c>
    </row>
    <row r="17" spans="1:13" x14ac:dyDescent="0.2">
      <c r="A17" s="3">
        <v>15</v>
      </c>
      <c r="B17" s="5" t="s">
        <v>14</v>
      </c>
      <c r="C17" s="17">
        <v>2491</v>
      </c>
      <c r="D17" s="61">
        <v>2388</v>
      </c>
      <c r="E17" s="6">
        <f t="shared" si="0"/>
        <v>103</v>
      </c>
      <c r="F17" s="61">
        <v>2645</v>
      </c>
      <c r="G17" s="6">
        <f t="shared" si="1"/>
        <v>-154</v>
      </c>
      <c r="H17" s="7"/>
      <c r="I17" s="5" t="s">
        <v>14</v>
      </c>
      <c r="J17" s="6">
        <f>SUM('1bezr.'!C17)</f>
        <v>3268</v>
      </c>
      <c r="K17" s="6">
        <f t="shared" si="3"/>
        <v>2491</v>
      </c>
      <c r="L17" s="8">
        <f t="shared" si="2"/>
        <v>76.223990208078334</v>
      </c>
      <c r="M17" s="10"/>
    </row>
    <row r="18" spans="1:13" x14ac:dyDescent="0.2">
      <c r="A18" s="3">
        <v>16</v>
      </c>
      <c r="B18" s="5" t="s">
        <v>15</v>
      </c>
      <c r="C18" s="17">
        <v>1665</v>
      </c>
      <c r="D18" s="61">
        <v>1654</v>
      </c>
      <c r="E18" s="6">
        <f t="shared" si="0"/>
        <v>11</v>
      </c>
      <c r="F18" s="61">
        <v>1932</v>
      </c>
      <c r="G18" s="6">
        <f t="shared" si="1"/>
        <v>-267</v>
      </c>
      <c r="H18" s="7"/>
      <c r="I18" s="5" t="s">
        <v>15</v>
      </c>
      <c r="J18" s="6">
        <f>SUM('1bezr.'!C18)</f>
        <v>2569</v>
      </c>
      <c r="K18" s="6">
        <f t="shared" si="3"/>
        <v>1665</v>
      </c>
      <c r="L18" s="8">
        <f t="shared" si="2"/>
        <v>64.811210587777339</v>
      </c>
    </row>
    <row r="19" spans="1:13" x14ac:dyDescent="0.2">
      <c r="A19" s="3">
        <v>17</v>
      </c>
      <c r="B19" s="5" t="s">
        <v>16</v>
      </c>
      <c r="C19" s="17">
        <v>3639</v>
      </c>
      <c r="D19" s="61">
        <v>3625</v>
      </c>
      <c r="E19" s="6">
        <f t="shared" si="0"/>
        <v>14</v>
      </c>
      <c r="F19" s="61">
        <v>3921</v>
      </c>
      <c r="G19" s="6">
        <f t="shared" si="1"/>
        <v>-282</v>
      </c>
      <c r="H19" s="7"/>
      <c r="I19" s="5" t="s">
        <v>16</v>
      </c>
      <c r="J19" s="6">
        <f>SUM('1bezr.'!C19)</f>
        <v>4618</v>
      </c>
      <c r="K19" s="6">
        <f t="shared" si="3"/>
        <v>3639</v>
      </c>
      <c r="L19" s="8">
        <f t="shared" si="2"/>
        <v>78.80034647033348</v>
      </c>
    </row>
    <row r="20" spans="1:13" x14ac:dyDescent="0.2">
      <c r="A20" s="3">
        <v>18</v>
      </c>
      <c r="B20" s="5" t="s">
        <v>17</v>
      </c>
      <c r="C20" s="17">
        <v>1524</v>
      </c>
      <c r="D20" s="61">
        <v>1514</v>
      </c>
      <c r="E20" s="6">
        <f t="shared" si="0"/>
        <v>10</v>
      </c>
      <c r="F20" s="61">
        <v>1360</v>
      </c>
      <c r="G20" s="6">
        <f t="shared" si="1"/>
        <v>164</v>
      </c>
      <c r="H20" s="7"/>
      <c r="I20" s="5" t="s">
        <v>17</v>
      </c>
      <c r="J20" s="6">
        <f>SUM('1bezr.'!C20)</f>
        <v>2657</v>
      </c>
      <c r="K20" s="6">
        <f t="shared" si="3"/>
        <v>1524</v>
      </c>
      <c r="L20" s="8">
        <f t="shared" si="2"/>
        <v>57.357922468949937</v>
      </c>
    </row>
    <row r="21" spans="1:13" x14ac:dyDescent="0.2">
      <c r="A21" s="3">
        <v>19</v>
      </c>
      <c r="B21" s="5" t="s">
        <v>18</v>
      </c>
      <c r="C21" s="17">
        <v>746</v>
      </c>
      <c r="D21" s="61">
        <v>746</v>
      </c>
      <c r="E21" s="6">
        <f t="shared" si="0"/>
        <v>0</v>
      </c>
      <c r="F21" s="61">
        <v>812</v>
      </c>
      <c r="G21" s="6">
        <f t="shared" si="1"/>
        <v>-66</v>
      </c>
      <c r="H21" s="7"/>
      <c r="I21" s="5" t="s">
        <v>18</v>
      </c>
      <c r="J21" s="6">
        <f>SUM('1bezr.'!C21)</f>
        <v>1891</v>
      </c>
      <c r="K21" s="6">
        <f t="shared" si="3"/>
        <v>746</v>
      </c>
      <c r="L21" s="8">
        <f t="shared" si="2"/>
        <v>39.450026441036492</v>
      </c>
    </row>
    <row r="22" spans="1:13" x14ac:dyDescent="0.2">
      <c r="A22" s="3">
        <v>20</v>
      </c>
      <c r="B22" s="5" t="s">
        <v>19</v>
      </c>
      <c r="C22" s="17">
        <v>2708</v>
      </c>
      <c r="D22" s="61">
        <v>2704</v>
      </c>
      <c r="E22" s="6">
        <f t="shared" si="0"/>
        <v>4</v>
      </c>
      <c r="F22" s="61">
        <v>2872</v>
      </c>
      <c r="G22" s="6">
        <f t="shared" si="1"/>
        <v>-164</v>
      </c>
      <c r="H22" s="7"/>
      <c r="I22" s="5" t="s">
        <v>19</v>
      </c>
      <c r="J22" s="6">
        <f>SUM('1bezr.'!C22)</f>
        <v>3007</v>
      </c>
      <c r="K22" s="6">
        <f t="shared" si="3"/>
        <v>2708</v>
      </c>
      <c r="L22" s="8">
        <f t="shared" si="2"/>
        <v>90.056534752244772</v>
      </c>
    </row>
    <row r="23" spans="1:13" x14ac:dyDescent="0.2">
      <c r="A23" s="3">
        <v>21</v>
      </c>
      <c r="B23" s="5" t="s">
        <v>20</v>
      </c>
      <c r="C23" s="17">
        <v>993</v>
      </c>
      <c r="D23" s="61">
        <v>974</v>
      </c>
      <c r="E23" s="6">
        <f t="shared" si="0"/>
        <v>19</v>
      </c>
      <c r="F23" s="61">
        <v>1060</v>
      </c>
      <c r="G23" s="6">
        <f t="shared" si="1"/>
        <v>-67</v>
      </c>
      <c r="H23" s="7"/>
      <c r="I23" s="5" t="s">
        <v>20</v>
      </c>
      <c r="J23" s="6">
        <f>SUM('1bezr.'!C23)</f>
        <v>1233</v>
      </c>
      <c r="K23" s="6">
        <f>SUM(C23)</f>
        <v>993</v>
      </c>
      <c r="L23" s="8">
        <f t="shared" si="2"/>
        <v>80.535279805352801</v>
      </c>
    </row>
    <row r="24" spans="1:13" ht="15" x14ac:dyDescent="0.25">
      <c r="A24" s="3">
        <v>22</v>
      </c>
      <c r="B24" s="58" t="s">
        <v>25</v>
      </c>
      <c r="C24" s="59">
        <f>SUM(C3:C23)</f>
        <v>40847</v>
      </c>
      <c r="D24" s="63">
        <f>SUM(D3:D23)</f>
        <v>40617</v>
      </c>
      <c r="E24" s="59">
        <f>SUM(E3:E23)</f>
        <v>230</v>
      </c>
      <c r="F24" s="63">
        <f>SUM(F3:F23)</f>
        <v>42694</v>
      </c>
      <c r="G24" s="59">
        <f>SUM(G3:G23)</f>
        <v>-1847</v>
      </c>
      <c r="H24" s="7"/>
      <c r="I24" s="5" t="s">
        <v>21</v>
      </c>
      <c r="J24" s="6">
        <f>SUM('1bezr.'!C24)</f>
        <v>716</v>
      </c>
      <c r="K24" s="11" t="s">
        <v>29</v>
      </c>
      <c r="L24" s="12" t="s">
        <v>29</v>
      </c>
    </row>
    <row r="25" spans="1:13" x14ac:dyDescent="0.2">
      <c r="C25" s="54"/>
      <c r="I25" s="5" t="s">
        <v>22</v>
      </c>
      <c r="J25" s="6">
        <f>SUM('1bezr.'!C25)</f>
        <v>2374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5304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1075</v>
      </c>
      <c r="K27" s="11" t="s">
        <v>29</v>
      </c>
      <c r="L27" s="12" t="s">
        <v>29</v>
      </c>
    </row>
    <row r="28" spans="1:13" ht="15" x14ac:dyDescent="0.25">
      <c r="H28" s="7"/>
      <c r="I28" s="58" t="s">
        <v>25</v>
      </c>
      <c r="J28" s="59">
        <f>SUM(J3:J27)</f>
        <v>65444</v>
      </c>
      <c r="K28" s="59">
        <f>SUM(K3:K23)</f>
        <v>40847</v>
      </c>
      <c r="L28" s="74">
        <f>SUM(K28)/J28*100</f>
        <v>62.415194670252426</v>
      </c>
    </row>
  </sheetData>
  <printOptions horizontalCentered="1" verticalCentered="1"/>
  <pageMargins left="0" right="0" top="0" bottom="0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1bezr.</vt:lpstr>
      <vt:lpstr>1sort</vt:lpstr>
      <vt:lpstr>2kob.</vt:lpstr>
      <vt:lpstr>2sort</vt:lpstr>
      <vt:lpstr>3s.bezr.Pol</vt:lpstr>
      <vt:lpstr>3sort</vt:lpstr>
      <vt:lpstr>4s.bezr.pow.</vt:lpstr>
      <vt:lpstr>4sort</vt:lpstr>
      <vt:lpstr>5bezr. na wsi</vt:lpstr>
      <vt:lpstr>5sort</vt:lpstr>
      <vt:lpstr>6długot.</vt:lpstr>
      <vt:lpstr>6sort</vt:lpstr>
      <vt:lpstr>7do 30 r.ż.</vt:lpstr>
      <vt:lpstr>7sort</vt:lpstr>
      <vt:lpstr>8pow. 50 r.ż.</vt:lpstr>
      <vt:lpstr>8sort</vt:lpstr>
      <vt:lpstr>9oferty p.</vt:lpstr>
      <vt:lpstr>9sort</vt:lpstr>
      <vt:lpstr>10oferty s.</vt:lpstr>
      <vt:lpstr>10sort</vt:lpstr>
      <vt:lpstr>11of st. k.</vt:lpstr>
      <vt:lpstr>11sort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Piotr Kocaj</cp:lastModifiedBy>
  <cp:lastPrinted>2023-02-24T06:50:21Z</cp:lastPrinted>
  <dcterms:created xsi:type="dcterms:W3CDTF">2016-08-02T05:46:03Z</dcterms:created>
  <dcterms:modified xsi:type="dcterms:W3CDTF">2023-08-29T10:30:15Z</dcterms:modified>
</cp:coreProperties>
</file>