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caj\Desktop\10 -'23\"/>
    </mc:Choice>
  </mc:AlternateContent>
  <xr:revisionPtr revIDLastSave="0" documentId="13_ncr:1_{01BA0DD4-5C49-4B29-8698-1B67C4469EDD}" xr6:coauthVersionLast="47" xr6:coauthVersionMax="47" xr10:uidLastSave="{00000000-0000-0000-0000-000000000000}"/>
  <bookViews>
    <workbookView xWindow="-120" yWindow="-120" windowWidth="29040" windowHeight="15720" tabRatio="949" xr2:uid="{00000000-000D-0000-FFFF-FFFF00000000}"/>
  </bookViews>
  <sheets>
    <sheet name="1bezr." sheetId="1" r:id="rId1"/>
    <sheet name="1sort" sheetId="14" r:id="rId2"/>
    <sheet name="2kob." sheetId="10" r:id="rId3"/>
    <sheet name="2sort" sheetId="15" r:id="rId4"/>
    <sheet name="3s.bezr.Pol" sheetId="8" r:id="rId5"/>
    <sheet name="3sort" sheetId="16" r:id="rId6"/>
    <sheet name="4s.bezr.pow." sheetId="13" r:id="rId7"/>
    <sheet name="4sort" sheetId="17" r:id="rId8"/>
    <sheet name="5bezr. na wsi" sheetId="2" r:id="rId9"/>
    <sheet name="5sort" sheetId="18" r:id="rId10"/>
    <sheet name="6długot." sheetId="3" r:id="rId11"/>
    <sheet name="6sort" sheetId="19" r:id="rId12"/>
    <sheet name="7do 30 r.ż." sheetId="4" r:id="rId13"/>
    <sheet name="7sort" sheetId="20" r:id="rId14"/>
    <sheet name="8pow. 50 r.ż." sheetId="5" r:id="rId15"/>
    <sheet name="8sort" sheetId="21" r:id="rId16"/>
    <sheet name="9oferty p." sheetId="6" r:id="rId17"/>
    <sheet name="9sort" sheetId="22" r:id="rId18"/>
    <sheet name="10oferty s." sheetId="11" r:id="rId19"/>
    <sheet name="10sort" sheetId="23" r:id="rId20"/>
    <sheet name="11of st. k." sheetId="26" r:id="rId21"/>
    <sheet name="11sort" sheetId="27" r:id="rId22"/>
    <sheet name="K1" sheetId="28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7" l="1"/>
  <c r="B21" i="16"/>
  <c r="K30" i="2"/>
  <c r="E28" i="3"/>
  <c r="E27" i="3"/>
  <c r="D24" i="2"/>
  <c r="G12" i="8"/>
  <c r="W29" i="28"/>
  <c r="X28" i="28" l="1"/>
  <c r="X27" i="28"/>
  <c r="X26" i="28"/>
  <c r="X25" i="28"/>
  <c r="X24" i="28"/>
  <c r="X23" i="28"/>
  <c r="X22" i="28"/>
  <c r="X21" i="28"/>
  <c r="X20" i="28"/>
  <c r="X19" i="28"/>
  <c r="X18" i="28"/>
  <c r="X17" i="28"/>
  <c r="X16" i="28"/>
  <c r="X15" i="28"/>
  <c r="X14" i="28"/>
  <c r="X13" i="28"/>
  <c r="X12" i="28"/>
  <c r="X11" i="28"/>
  <c r="X10" i="28"/>
  <c r="X9" i="28"/>
  <c r="X8" i="28"/>
  <c r="X7" i="28"/>
  <c r="X6" i="28"/>
  <c r="X5" i="28"/>
  <c r="X4" i="28"/>
  <c r="T4" i="28"/>
  <c r="G3" i="8"/>
  <c r="AB3" i="14"/>
  <c r="AC3" i="14"/>
  <c r="E27" i="4" l="1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T10" i="28"/>
  <c r="E28" i="4" l="1"/>
  <c r="S29" i="28" l="1"/>
  <c r="R29" i="28"/>
  <c r="M29" i="28"/>
  <c r="L29" i="28"/>
  <c r="I29" i="28"/>
  <c r="H29" i="28"/>
  <c r="E29" i="28"/>
  <c r="D29" i="28"/>
  <c r="V29" i="28" l="1"/>
  <c r="X29" i="28" s="1"/>
  <c r="D28" i="3"/>
  <c r="T28" i="28"/>
  <c r="N28" i="28"/>
  <c r="J28" i="28"/>
  <c r="F28" i="28"/>
  <c r="T27" i="28"/>
  <c r="N27" i="28"/>
  <c r="J27" i="28"/>
  <c r="F27" i="28"/>
  <c r="T26" i="28"/>
  <c r="N26" i="28"/>
  <c r="J26" i="28"/>
  <c r="F26" i="28"/>
  <c r="T25" i="28"/>
  <c r="N25" i="28"/>
  <c r="J25" i="28"/>
  <c r="F25" i="28"/>
  <c r="T24" i="28"/>
  <c r="N24" i="28"/>
  <c r="J24" i="28"/>
  <c r="F24" i="28"/>
  <c r="T23" i="28"/>
  <c r="N23" i="28"/>
  <c r="J23" i="28"/>
  <c r="F23" i="28"/>
  <c r="T22" i="28"/>
  <c r="N22" i="28"/>
  <c r="J22" i="28"/>
  <c r="F22" i="28"/>
  <c r="T21" i="28"/>
  <c r="N21" i="28"/>
  <c r="J21" i="28"/>
  <c r="F21" i="28"/>
  <c r="T20" i="28"/>
  <c r="N20" i="28"/>
  <c r="J20" i="28"/>
  <c r="F20" i="28"/>
  <c r="T19" i="28"/>
  <c r="N19" i="28"/>
  <c r="J19" i="28"/>
  <c r="F19" i="28"/>
  <c r="T18" i="28"/>
  <c r="N18" i="28"/>
  <c r="J18" i="28"/>
  <c r="F18" i="28"/>
  <c r="T17" i="28"/>
  <c r="N17" i="28"/>
  <c r="J17" i="28"/>
  <c r="F17" i="28"/>
  <c r="T16" i="28"/>
  <c r="N16" i="28"/>
  <c r="J16" i="28"/>
  <c r="F16" i="28"/>
  <c r="T15" i="28"/>
  <c r="N15" i="28"/>
  <c r="J15" i="28"/>
  <c r="F15" i="28"/>
  <c r="T14" i="28"/>
  <c r="N14" i="28"/>
  <c r="J14" i="28"/>
  <c r="F14" i="28"/>
  <c r="T13" i="28"/>
  <c r="N13" i="28"/>
  <c r="J13" i="28"/>
  <c r="F13" i="28"/>
  <c r="T12" i="28"/>
  <c r="N12" i="28"/>
  <c r="J12" i="28"/>
  <c r="F12" i="28"/>
  <c r="T11" i="28"/>
  <c r="N11" i="28"/>
  <c r="J11" i="28"/>
  <c r="F11" i="28"/>
  <c r="N10" i="28"/>
  <c r="J10" i="28"/>
  <c r="F10" i="28"/>
  <c r="T9" i="28"/>
  <c r="N9" i="28"/>
  <c r="J9" i="28"/>
  <c r="F9" i="28"/>
  <c r="T8" i="28"/>
  <c r="N8" i="28"/>
  <c r="J8" i="28"/>
  <c r="F8" i="28"/>
  <c r="T7" i="28"/>
  <c r="N7" i="28"/>
  <c r="J7" i="28"/>
  <c r="F7" i="28"/>
  <c r="T6" i="28"/>
  <c r="N6" i="28"/>
  <c r="J6" i="28"/>
  <c r="F6" i="28"/>
  <c r="T5" i="28"/>
  <c r="AD4" i="28" s="1"/>
  <c r="N5" i="28"/>
  <c r="J5" i="28"/>
  <c r="F5" i="28"/>
  <c r="N4" i="28"/>
  <c r="J4" i="28"/>
  <c r="F4" i="28"/>
  <c r="X3" i="14"/>
  <c r="W3" i="14"/>
  <c r="D28" i="6"/>
  <c r="F28" i="1"/>
  <c r="C24" i="2"/>
  <c r="H3" i="27"/>
  <c r="G3" i="27"/>
  <c r="F3" i="27"/>
  <c r="E3" i="27"/>
  <c r="D3" i="27"/>
  <c r="C3" i="27"/>
  <c r="F29" i="26"/>
  <c r="D29" i="26"/>
  <c r="C29" i="26"/>
  <c r="B27" i="27" s="1"/>
  <c r="G28" i="26"/>
  <c r="E28" i="26"/>
  <c r="G27" i="26"/>
  <c r="E27" i="26"/>
  <c r="G26" i="26"/>
  <c r="E26" i="26"/>
  <c r="G25" i="26"/>
  <c r="E25" i="26"/>
  <c r="G24" i="26"/>
  <c r="E24" i="26"/>
  <c r="G23" i="26"/>
  <c r="E23" i="26"/>
  <c r="G22" i="26"/>
  <c r="E22" i="26"/>
  <c r="G21" i="26"/>
  <c r="E21" i="26"/>
  <c r="G20" i="26"/>
  <c r="E20" i="26"/>
  <c r="G19" i="26"/>
  <c r="E19" i="26"/>
  <c r="G18" i="26"/>
  <c r="E18" i="26"/>
  <c r="G17" i="26"/>
  <c r="E17" i="26"/>
  <c r="G16" i="26"/>
  <c r="E16" i="26"/>
  <c r="G15" i="26"/>
  <c r="E15" i="26"/>
  <c r="G14" i="26"/>
  <c r="E14" i="26"/>
  <c r="G13" i="26"/>
  <c r="E13" i="26"/>
  <c r="G12" i="26"/>
  <c r="E12" i="26"/>
  <c r="G11" i="26"/>
  <c r="E11" i="26"/>
  <c r="G10" i="26"/>
  <c r="E10" i="26"/>
  <c r="G9" i="26"/>
  <c r="E9" i="26"/>
  <c r="G8" i="26"/>
  <c r="E8" i="26"/>
  <c r="G7" i="26"/>
  <c r="E7" i="26"/>
  <c r="G6" i="26"/>
  <c r="E6" i="26"/>
  <c r="G5" i="26"/>
  <c r="E5" i="26"/>
  <c r="G4" i="26"/>
  <c r="E4" i="26"/>
  <c r="F28" i="4"/>
  <c r="AD6" i="28" l="1"/>
  <c r="AD5" i="28"/>
  <c r="T29" i="28"/>
  <c r="AD10" i="28"/>
  <c r="P4" i="28"/>
  <c r="P6" i="28"/>
  <c r="P5" i="28"/>
  <c r="P10" i="28"/>
  <c r="AD25" i="28"/>
  <c r="P17" i="28"/>
  <c r="J29" i="28"/>
  <c r="F29" i="28"/>
  <c r="N29" i="28"/>
  <c r="P8" i="28"/>
  <c r="P20" i="28"/>
  <c r="P16" i="28"/>
  <c r="P14" i="28"/>
  <c r="P22" i="28"/>
  <c r="P13" i="28"/>
  <c r="AD16" i="28"/>
  <c r="AD28" i="28"/>
  <c r="AD9" i="28"/>
  <c r="AD21" i="28"/>
  <c r="AD14" i="28"/>
  <c r="AD26" i="28"/>
  <c r="AD7" i="28"/>
  <c r="AD19" i="28"/>
  <c r="AD12" i="28"/>
  <c r="AD24" i="28"/>
  <c r="AD17" i="28"/>
  <c r="AD22" i="28"/>
  <c r="AD15" i="28"/>
  <c r="AD27" i="28"/>
  <c r="AD8" i="28"/>
  <c r="AD20" i="28"/>
  <c r="AD13" i="28"/>
  <c r="AD18" i="28"/>
  <c r="AD11" i="28"/>
  <c r="AD23" i="28"/>
  <c r="P25" i="28"/>
  <c r="P7" i="28"/>
  <c r="P19" i="28"/>
  <c r="P28" i="28"/>
  <c r="P15" i="28"/>
  <c r="P27" i="28"/>
  <c r="P18" i="28"/>
  <c r="P11" i="28"/>
  <c r="P23" i="28"/>
  <c r="P9" i="28"/>
  <c r="P21" i="28"/>
  <c r="P26" i="28"/>
  <c r="P12" i="28"/>
  <c r="P24" i="28"/>
  <c r="B12" i="27"/>
  <c r="B16" i="27"/>
  <c r="B17" i="27"/>
  <c r="B18" i="27"/>
  <c r="B24" i="27"/>
  <c r="B25" i="27"/>
  <c r="B13" i="27"/>
  <c r="B26" i="27"/>
  <c r="B14" i="27"/>
  <c r="B4" i="27"/>
  <c r="B28" i="27"/>
  <c r="B5" i="27"/>
  <c r="B29" i="27"/>
  <c r="B6" i="27"/>
  <c r="B7" i="27"/>
  <c r="B19" i="27"/>
  <c r="B8" i="27"/>
  <c r="B20" i="27"/>
  <c r="B9" i="27"/>
  <c r="B21" i="27"/>
  <c r="B10" i="27"/>
  <c r="B22" i="27"/>
  <c r="E29" i="26"/>
  <c r="G29" i="26"/>
  <c r="B11" i="27"/>
  <c r="B23" i="27"/>
  <c r="B15" i="27"/>
  <c r="E12" i="13"/>
  <c r="G12" i="13"/>
  <c r="AF19" i="28" l="1"/>
  <c r="AF21" i="28"/>
  <c r="AF17" i="28"/>
  <c r="AF6" i="28"/>
  <c r="AF28" i="28"/>
  <c r="AF7" i="28"/>
  <c r="AF8" i="28"/>
  <c r="AF13" i="28"/>
  <c r="AF18" i="28"/>
  <c r="AF26" i="28"/>
  <c r="Z4" i="28"/>
  <c r="AI4" i="28" s="1"/>
  <c r="AF20" i="28"/>
  <c r="AF14" i="28"/>
  <c r="AF24" i="28"/>
  <c r="AF9" i="28"/>
  <c r="AF15" i="28"/>
  <c r="AF25" i="28"/>
  <c r="AF10" i="28"/>
  <c r="AF27" i="28"/>
  <c r="AF12" i="28"/>
  <c r="AF22" i="28"/>
  <c r="AF4" i="28"/>
  <c r="AF11" i="28"/>
  <c r="AF16" i="28"/>
  <c r="AF5" i="28"/>
  <c r="AF23" i="28"/>
  <c r="Z5" i="28"/>
  <c r="AI5" i="28" s="1"/>
  <c r="Z6" i="28"/>
  <c r="AI6" i="28" s="1"/>
  <c r="AE4" i="28"/>
  <c r="Z10" i="28"/>
  <c r="AI10" i="28" s="1"/>
  <c r="Z25" i="28"/>
  <c r="AI25" i="28" s="1"/>
  <c r="P29" i="28"/>
  <c r="AE19" i="28"/>
  <c r="AE7" i="28"/>
  <c r="AE9" i="28"/>
  <c r="AE26" i="28"/>
  <c r="AE8" i="28"/>
  <c r="AE21" i="28"/>
  <c r="AE24" i="28"/>
  <c r="AE6" i="28"/>
  <c r="AE11" i="28"/>
  <c r="AE23" i="28"/>
  <c r="AE22" i="28"/>
  <c r="AE12" i="28"/>
  <c r="AE25" i="28"/>
  <c r="AE14" i="28"/>
  <c r="AE15" i="28"/>
  <c r="AE27" i="28"/>
  <c r="AE13" i="28"/>
  <c r="AE16" i="28"/>
  <c r="AE28" i="28"/>
  <c r="AE5" i="28"/>
  <c r="AE17" i="28"/>
  <c r="AE18" i="28"/>
  <c r="AE10" i="28"/>
  <c r="AE20" i="28"/>
  <c r="Z22" i="28"/>
  <c r="AI22" i="28" s="1"/>
  <c r="Z9" i="28"/>
  <c r="AI9" i="28" s="1"/>
  <c r="Z11" i="28"/>
  <c r="AI11" i="28" s="1"/>
  <c r="Z13" i="28"/>
  <c r="AI13" i="28" s="1"/>
  <c r="Z27" i="28"/>
  <c r="AI27" i="28" s="1"/>
  <c r="Z24" i="28"/>
  <c r="AI24" i="28" s="1"/>
  <c r="Z26" i="28"/>
  <c r="AI26" i="28" s="1"/>
  <c r="Z14" i="28"/>
  <c r="AI14" i="28" s="1"/>
  <c r="Z20" i="28"/>
  <c r="AI20" i="28" s="1"/>
  <c r="Z16" i="28"/>
  <c r="AI16" i="28" s="1"/>
  <c r="Z8" i="28"/>
  <c r="AI8" i="28" s="1"/>
  <c r="Z28" i="28"/>
  <c r="AI28" i="28" s="1"/>
  <c r="Z23" i="28"/>
  <c r="AI23" i="28" s="1"/>
  <c r="Z15" i="28"/>
  <c r="AI15" i="28" s="1"/>
  <c r="Z19" i="28"/>
  <c r="AI19" i="28" s="1"/>
  <c r="Z17" i="28"/>
  <c r="AI17" i="28" s="1"/>
  <c r="Z21" i="28"/>
  <c r="AI21" i="28" s="1"/>
  <c r="Z18" i="28"/>
  <c r="AI18" i="28" s="1"/>
  <c r="Z7" i="28"/>
  <c r="AI7" i="28" s="1"/>
  <c r="Z12" i="28"/>
  <c r="AI12" i="28" s="1"/>
  <c r="E4" i="27"/>
  <c r="E16" i="27"/>
  <c r="E28" i="27"/>
  <c r="D15" i="27"/>
  <c r="D27" i="27"/>
  <c r="G14" i="27"/>
  <c r="G26" i="27"/>
  <c r="E20" i="27"/>
  <c r="G18" i="27"/>
  <c r="D11" i="27"/>
  <c r="D25" i="27"/>
  <c r="G25" i="27"/>
  <c r="E5" i="27"/>
  <c r="E17" i="27"/>
  <c r="D4" i="27"/>
  <c r="D16" i="27"/>
  <c r="D28" i="27"/>
  <c r="G15" i="27"/>
  <c r="G27" i="27"/>
  <c r="D7" i="27"/>
  <c r="G9" i="27"/>
  <c r="D12" i="27"/>
  <c r="D26" i="27"/>
  <c r="E6" i="27"/>
  <c r="E18" i="27"/>
  <c r="D5" i="27"/>
  <c r="D17" i="27"/>
  <c r="G4" i="27"/>
  <c r="G16" i="27"/>
  <c r="G28" i="27"/>
  <c r="G6" i="27"/>
  <c r="D23" i="27"/>
  <c r="G12" i="27"/>
  <c r="E7" i="27"/>
  <c r="E19" i="27"/>
  <c r="D6" i="27"/>
  <c r="D18" i="27"/>
  <c r="G5" i="27"/>
  <c r="G17" i="27"/>
  <c r="E8" i="27"/>
  <c r="D19" i="27"/>
  <c r="E24" i="27"/>
  <c r="G24" i="27"/>
  <c r="E9" i="27"/>
  <c r="E21" i="27"/>
  <c r="D8" i="27"/>
  <c r="D20" i="27"/>
  <c r="G7" i="27"/>
  <c r="G19" i="27"/>
  <c r="E22" i="27"/>
  <c r="D9" i="27"/>
  <c r="D21" i="27"/>
  <c r="G20" i="27"/>
  <c r="G21" i="27"/>
  <c r="G10" i="27"/>
  <c r="G23" i="27"/>
  <c r="D13" i="27"/>
  <c r="G13" i="27"/>
  <c r="E10" i="27"/>
  <c r="G8" i="27"/>
  <c r="G22" i="27"/>
  <c r="D24" i="27"/>
  <c r="E27" i="27"/>
  <c r="E11" i="27"/>
  <c r="E23" i="27"/>
  <c r="D10" i="27"/>
  <c r="D22" i="27"/>
  <c r="G11" i="27"/>
  <c r="E15" i="27"/>
  <c r="E12" i="27"/>
  <c r="E26" i="27"/>
  <c r="E13" i="27"/>
  <c r="E25" i="27"/>
  <c r="D14" i="27"/>
  <c r="E14" i="27"/>
  <c r="F5" i="27"/>
  <c r="C21" i="27"/>
  <c r="C9" i="27"/>
  <c r="F26" i="27"/>
  <c r="H18" i="27"/>
  <c r="H5" i="27"/>
  <c r="C5" i="27"/>
  <c r="F21" i="27"/>
  <c r="F18" i="27"/>
  <c r="H21" i="27"/>
  <c r="F9" i="27"/>
  <c r="C26" i="27"/>
  <c r="H26" i="27"/>
  <c r="H9" i="27"/>
  <c r="H22" i="27"/>
  <c r="C22" i="27"/>
  <c r="F22" i="27"/>
  <c r="F16" i="27"/>
  <c r="H27" i="27"/>
  <c r="C29" i="27"/>
  <c r="F25" i="27"/>
  <c r="F17" i="27"/>
  <c r="H12" i="27"/>
  <c r="C17" i="27"/>
  <c r="H8" i="27"/>
  <c r="C25" i="27"/>
  <c r="D29" i="27"/>
  <c r="G29" i="27"/>
  <c r="F13" i="27"/>
  <c r="H23" i="27"/>
  <c r="F29" i="27"/>
  <c r="H28" i="27"/>
  <c r="C19" i="27"/>
  <c r="F10" i="27"/>
  <c r="C11" i="27"/>
  <c r="C28" i="27"/>
  <c r="C16" i="27"/>
  <c r="H11" i="27"/>
  <c r="C4" i="27"/>
  <c r="F24" i="27"/>
  <c r="H19" i="27"/>
  <c r="H16" i="27"/>
  <c r="H25" i="27"/>
  <c r="F6" i="27"/>
  <c r="C23" i="27"/>
  <c r="F12" i="27"/>
  <c r="H7" i="27"/>
  <c r="H4" i="27"/>
  <c r="H24" i="27"/>
  <c r="H20" i="27"/>
  <c r="C13" i="27"/>
  <c r="F15" i="27"/>
  <c r="H10" i="27"/>
  <c r="F4" i="27"/>
  <c r="F23" i="27"/>
  <c r="C24" i="27"/>
  <c r="F7" i="27"/>
  <c r="C8" i="27"/>
  <c r="F27" i="27"/>
  <c r="C27" i="27"/>
  <c r="F11" i="27"/>
  <c r="C12" i="27"/>
  <c r="H14" i="27"/>
  <c r="H13" i="27"/>
  <c r="H17" i="27"/>
  <c r="C15" i="27"/>
  <c r="E29" i="27"/>
  <c r="F20" i="27"/>
  <c r="C10" i="27"/>
  <c r="H29" i="27"/>
  <c r="C7" i="27"/>
  <c r="F8" i="27"/>
  <c r="H15" i="27"/>
  <c r="C18" i="27"/>
  <c r="C20" i="27"/>
  <c r="C6" i="27"/>
  <c r="F14" i="27"/>
  <c r="C14" i="27"/>
  <c r="H6" i="27"/>
  <c r="F28" i="27"/>
  <c r="F19" i="27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3" i="10"/>
  <c r="AA4" i="28" l="1"/>
  <c r="AB4" i="28"/>
  <c r="AB17" i="28"/>
  <c r="AB5" i="28"/>
  <c r="AB28" i="28"/>
  <c r="AB16" i="28"/>
  <c r="AB27" i="28"/>
  <c r="AB15" i="28"/>
  <c r="AB26" i="28"/>
  <c r="AB14" i="28"/>
  <c r="AB25" i="28"/>
  <c r="AB13" i="28"/>
  <c r="AB24" i="28"/>
  <c r="AB12" i="28"/>
  <c r="AB23" i="28"/>
  <c r="AB11" i="28"/>
  <c r="AB22" i="28"/>
  <c r="AB10" i="28"/>
  <c r="AB8" i="28"/>
  <c r="AB21" i="28"/>
  <c r="AB9" i="28"/>
  <c r="AA5" i="28"/>
  <c r="AB20" i="28"/>
  <c r="AB19" i="28"/>
  <c r="AB7" i="28"/>
  <c r="AB18" i="28"/>
  <c r="AB6" i="28"/>
  <c r="AA8" i="28"/>
  <c r="AA14" i="28"/>
  <c r="AA16" i="28"/>
  <c r="AA20" i="28"/>
  <c r="AA28" i="28"/>
  <c r="AA17" i="28"/>
  <c r="AA18" i="28"/>
  <c r="AA9" i="28"/>
  <c r="AA11" i="28"/>
  <c r="AA23" i="28"/>
  <c r="AA21" i="28"/>
  <c r="AA22" i="28"/>
  <c r="AA12" i="28"/>
  <c r="AA24" i="28"/>
  <c r="AA10" i="28"/>
  <c r="AA13" i="28"/>
  <c r="AA25" i="28"/>
  <c r="AA7" i="28"/>
  <c r="AA26" i="28"/>
  <c r="AA15" i="28"/>
  <c r="AA27" i="28"/>
  <c r="AA6" i="28"/>
  <c r="AA19" i="28"/>
  <c r="J28" i="2"/>
  <c r="J28" i="10"/>
  <c r="F28" i="3" l="1"/>
  <c r="C28" i="3"/>
  <c r="G3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C28" i="1" l="1"/>
  <c r="B4" i="14" l="1"/>
  <c r="AA18" i="14"/>
  <c r="AA21" i="14"/>
  <c r="AA8" i="14"/>
  <c r="AA14" i="14"/>
  <c r="AA12" i="14"/>
  <c r="AA9" i="14"/>
  <c r="AA4" i="14"/>
  <c r="AA20" i="14"/>
  <c r="AA7" i="14"/>
  <c r="AA13" i="14"/>
  <c r="AA11" i="14"/>
  <c r="AA19" i="14"/>
  <c r="AA6" i="14"/>
  <c r="AA15" i="14"/>
  <c r="AA24" i="14"/>
  <c r="AA5" i="14"/>
  <c r="AA17" i="14"/>
  <c r="AA25" i="14"/>
  <c r="AA10" i="14"/>
  <c r="AA29" i="14"/>
  <c r="AA16" i="14"/>
  <c r="AA26" i="14"/>
  <c r="AA22" i="14"/>
  <c r="AA28" i="14"/>
  <c r="AA27" i="14"/>
  <c r="AA23" i="14"/>
  <c r="B29" i="14"/>
  <c r="AC4" i="14" l="1"/>
  <c r="AC29" i="14"/>
  <c r="AB22" i="14"/>
  <c r="AC14" i="14"/>
  <c r="AB10" i="14"/>
  <c r="AC16" i="14"/>
  <c r="AB7" i="14"/>
  <c r="AB26" i="14"/>
  <c r="AB8" i="14"/>
  <c r="AC11" i="14"/>
  <c r="AC20" i="14"/>
  <c r="AC12" i="14"/>
  <c r="AB13" i="14"/>
  <c r="AB12" i="14"/>
  <c r="AB15" i="14"/>
  <c r="AC10" i="14"/>
  <c r="AC28" i="14"/>
  <c r="AC7" i="14"/>
  <c r="AC19" i="14"/>
  <c r="AB5" i="14"/>
  <c r="AB24" i="14"/>
  <c r="AC17" i="14"/>
  <c r="AB14" i="14"/>
  <c r="AB6" i="14"/>
  <c r="AC9" i="14"/>
  <c r="AC18" i="14"/>
  <c r="AC25" i="14"/>
  <c r="AB23" i="14"/>
  <c r="AC15" i="14"/>
  <c r="AC22" i="14"/>
  <c r="AB27" i="14"/>
  <c r="AB18" i="14"/>
  <c r="AC8" i="14"/>
  <c r="AC23" i="14"/>
  <c r="AC27" i="14"/>
  <c r="AB20" i="14"/>
  <c r="AB28" i="14"/>
  <c r="AB21" i="14"/>
  <c r="AB11" i="14"/>
  <c r="AB19" i="14"/>
  <c r="AC6" i="14"/>
  <c r="AC21" i="14"/>
  <c r="AC13" i="14"/>
  <c r="AC5" i="14"/>
  <c r="AB16" i="14"/>
  <c r="AB9" i="14"/>
  <c r="AB4" i="14"/>
  <c r="AC26" i="14"/>
  <c r="AC24" i="14"/>
  <c r="AB17" i="14"/>
  <c r="AB29" i="14"/>
  <c r="AB25" i="14"/>
  <c r="B6" i="14"/>
  <c r="B10" i="14"/>
  <c r="B14" i="14"/>
  <c r="B18" i="14"/>
  <c r="B22" i="14"/>
  <c r="B26" i="14"/>
  <c r="B7" i="14"/>
  <c r="B11" i="14"/>
  <c r="B15" i="14"/>
  <c r="B19" i="14"/>
  <c r="B23" i="14"/>
  <c r="B27" i="14"/>
  <c r="B8" i="14"/>
  <c r="B12" i="14"/>
  <c r="B16" i="14"/>
  <c r="B20" i="14"/>
  <c r="B24" i="14"/>
  <c r="B28" i="14"/>
  <c r="B5" i="14"/>
  <c r="B9" i="14"/>
  <c r="B13" i="14"/>
  <c r="B17" i="14"/>
  <c r="B21" i="14"/>
  <c r="B25" i="14"/>
  <c r="AC30" i="14" l="1"/>
  <c r="F11" i="14"/>
  <c r="D4" i="14"/>
  <c r="D5" i="14"/>
  <c r="C5" i="14"/>
  <c r="C4" i="14"/>
  <c r="E4" i="14"/>
  <c r="E16" i="14"/>
  <c r="E28" i="14"/>
  <c r="G15" i="14"/>
  <c r="G27" i="14"/>
  <c r="D14" i="14"/>
  <c r="D26" i="14"/>
  <c r="E11" i="14"/>
  <c r="E13" i="14"/>
  <c r="D23" i="14"/>
  <c r="E15" i="14"/>
  <c r="E5" i="14"/>
  <c r="E17" i="14"/>
  <c r="G16" i="14"/>
  <c r="G28" i="14"/>
  <c r="D15" i="14"/>
  <c r="D27" i="14"/>
  <c r="G21" i="14"/>
  <c r="G10" i="14"/>
  <c r="G23" i="14"/>
  <c r="G24" i="14"/>
  <c r="G25" i="14"/>
  <c r="D25" i="14"/>
  <c r="E6" i="14"/>
  <c r="E18" i="14"/>
  <c r="G5" i="14"/>
  <c r="G17" i="14"/>
  <c r="D16" i="14"/>
  <c r="D28" i="14"/>
  <c r="D20" i="14"/>
  <c r="G22" i="14"/>
  <c r="G11" i="14"/>
  <c r="E14" i="14"/>
  <c r="D13" i="14"/>
  <c r="E7" i="14"/>
  <c r="E19" i="14"/>
  <c r="G6" i="14"/>
  <c r="G18" i="14"/>
  <c r="D17" i="14"/>
  <c r="G9" i="14"/>
  <c r="D9" i="14"/>
  <c r="D10" i="14"/>
  <c r="D11" i="14"/>
  <c r="D12" i="14"/>
  <c r="E27" i="14"/>
  <c r="E8" i="14"/>
  <c r="E20" i="14"/>
  <c r="G7" i="14"/>
  <c r="G19" i="14"/>
  <c r="D6" i="14"/>
  <c r="D18" i="14"/>
  <c r="D8" i="14"/>
  <c r="E23" i="14"/>
  <c r="D22" i="14"/>
  <c r="E25" i="14"/>
  <c r="G13" i="14"/>
  <c r="G14" i="14"/>
  <c r="E9" i="14"/>
  <c r="E21" i="14"/>
  <c r="G8" i="14"/>
  <c r="G20" i="14"/>
  <c r="D7" i="14"/>
  <c r="D19" i="14"/>
  <c r="E22" i="14"/>
  <c r="E24" i="14"/>
  <c r="G12" i="14"/>
  <c r="D24" i="14"/>
  <c r="G26" i="14"/>
  <c r="E10" i="14"/>
  <c r="E26" i="14"/>
  <c r="D21" i="14"/>
  <c r="E12" i="14"/>
  <c r="C22" i="14"/>
  <c r="C29" i="14"/>
  <c r="C13" i="14"/>
  <c r="C18" i="14"/>
  <c r="C25" i="14"/>
  <c r="C9" i="14"/>
  <c r="C14" i="14"/>
  <c r="C17" i="14"/>
  <c r="C6" i="14"/>
  <c r="C21" i="14"/>
  <c r="C26" i="14"/>
  <c r="C10" i="14"/>
  <c r="D29" i="14"/>
  <c r="C27" i="14"/>
  <c r="C23" i="14"/>
  <c r="C19" i="14"/>
  <c r="C15" i="14"/>
  <c r="C11" i="14"/>
  <c r="C7" i="14"/>
  <c r="C28" i="14"/>
  <c r="C24" i="14"/>
  <c r="C20" i="14"/>
  <c r="C16" i="14"/>
  <c r="C12" i="14"/>
  <c r="C8" i="14"/>
  <c r="E4" i="11"/>
  <c r="G4" i="11"/>
  <c r="F28" i="10" l="1"/>
  <c r="D28" i="10" l="1"/>
  <c r="G6" i="13" l="1"/>
  <c r="E6" i="13"/>
  <c r="G27" i="10" l="1"/>
  <c r="G10" i="2" l="1"/>
  <c r="B19" i="16" l="1"/>
  <c r="E27" i="10" l="1"/>
  <c r="F28" i="6" l="1"/>
  <c r="C28" i="6"/>
  <c r="C28" i="4" l="1"/>
  <c r="B30" i="17" l="1"/>
  <c r="B15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4" i="17"/>
  <c r="B13" i="17"/>
  <c r="B12" i="17"/>
  <c r="B11" i="17"/>
  <c r="B10" i="17"/>
  <c r="B9" i="17"/>
  <c r="B8" i="17"/>
  <c r="B7" i="17"/>
  <c r="B6" i="17"/>
  <c r="B5" i="17"/>
  <c r="B4" i="17"/>
  <c r="G5" i="17" l="1"/>
  <c r="G4" i="17"/>
  <c r="E30" i="17"/>
  <c r="C6" i="17"/>
  <c r="C10" i="17"/>
  <c r="C14" i="17"/>
  <c r="C18" i="17"/>
  <c r="C22" i="17"/>
  <c r="C26" i="17"/>
  <c r="C30" i="17"/>
  <c r="D7" i="17"/>
  <c r="D11" i="17"/>
  <c r="D15" i="17"/>
  <c r="D19" i="17"/>
  <c r="D23" i="17"/>
  <c r="D27" i="17"/>
  <c r="E4" i="17"/>
  <c r="E8" i="17"/>
  <c r="E12" i="17"/>
  <c r="E16" i="17"/>
  <c r="E20" i="17"/>
  <c r="E24" i="17"/>
  <c r="E28" i="17"/>
  <c r="G8" i="17"/>
  <c r="G12" i="17"/>
  <c r="G16" i="17"/>
  <c r="G20" i="17"/>
  <c r="G24" i="17"/>
  <c r="G28" i="17"/>
  <c r="G30" i="17"/>
  <c r="C7" i="17"/>
  <c r="C11" i="17"/>
  <c r="C15" i="17"/>
  <c r="C19" i="17"/>
  <c r="C23" i="17"/>
  <c r="C27" i="17"/>
  <c r="D4" i="17"/>
  <c r="D8" i="17"/>
  <c r="D12" i="17"/>
  <c r="D16" i="17"/>
  <c r="D20" i="17"/>
  <c r="D24" i="17"/>
  <c r="D28" i="17"/>
  <c r="E5" i="17"/>
  <c r="E9" i="17"/>
  <c r="E13" i="17"/>
  <c r="E17" i="17"/>
  <c r="E21" i="17"/>
  <c r="E25" i="17"/>
  <c r="E29" i="17"/>
  <c r="G9" i="17"/>
  <c r="G13" i="17"/>
  <c r="G17" i="17"/>
  <c r="G21" i="17"/>
  <c r="G25" i="17"/>
  <c r="G29" i="17"/>
  <c r="C4" i="17"/>
  <c r="C8" i="17"/>
  <c r="C12" i="17"/>
  <c r="C16" i="17"/>
  <c r="C20" i="17"/>
  <c r="C24" i="17"/>
  <c r="C28" i="17"/>
  <c r="D5" i="17"/>
  <c r="D9" i="17"/>
  <c r="D13" i="17"/>
  <c r="D17" i="17"/>
  <c r="D21" i="17"/>
  <c r="D25" i="17"/>
  <c r="D29" i="17"/>
  <c r="E6" i="17"/>
  <c r="E10" i="17"/>
  <c r="E14" i="17"/>
  <c r="E18" i="17"/>
  <c r="E22" i="17"/>
  <c r="E26" i="17"/>
  <c r="G6" i="17"/>
  <c r="G10" i="17"/>
  <c r="G14" i="17"/>
  <c r="G18" i="17"/>
  <c r="G22" i="17"/>
  <c r="G26" i="17"/>
  <c r="C5" i="17"/>
  <c r="C9" i="17"/>
  <c r="C13" i="17"/>
  <c r="C17" i="17"/>
  <c r="C21" i="17"/>
  <c r="C25" i="17"/>
  <c r="C29" i="17"/>
  <c r="D6" i="17"/>
  <c r="D10" i="17"/>
  <c r="D14" i="17"/>
  <c r="D18" i="17"/>
  <c r="D22" i="17"/>
  <c r="D26" i="17"/>
  <c r="D30" i="17"/>
  <c r="E7" i="17"/>
  <c r="E11" i="17"/>
  <c r="E15" i="17"/>
  <c r="E19" i="17"/>
  <c r="E23" i="17"/>
  <c r="E27" i="17"/>
  <c r="G7" i="17"/>
  <c r="G11" i="17"/>
  <c r="G15" i="17"/>
  <c r="G19" i="17"/>
  <c r="G23" i="17"/>
  <c r="G27" i="17"/>
  <c r="D28" i="1"/>
  <c r="E29" i="14" l="1"/>
  <c r="E28" i="1"/>
  <c r="F24" i="2"/>
  <c r="V29" i="14" l="1"/>
  <c r="V19" i="14"/>
  <c r="V25" i="14"/>
  <c r="V17" i="14"/>
  <c r="V21" i="14"/>
  <c r="V20" i="14"/>
  <c r="V22" i="14"/>
  <c r="V12" i="14"/>
  <c r="V8" i="14"/>
  <c r="V14" i="14"/>
  <c r="V26" i="14"/>
  <c r="V23" i="14"/>
  <c r="V27" i="14"/>
  <c r="V24" i="14"/>
  <c r="V9" i="14"/>
  <c r="V5" i="14"/>
  <c r="V10" i="14"/>
  <c r="V6" i="14"/>
  <c r="V11" i="14"/>
  <c r="V28" i="14"/>
  <c r="V15" i="14"/>
  <c r="V18" i="14"/>
  <c r="V16" i="14"/>
  <c r="V7" i="14"/>
  <c r="V13" i="14"/>
  <c r="V4" i="14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C28" i="10"/>
  <c r="X29" i="14" l="1"/>
  <c r="X5" i="14"/>
  <c r="W4" i="14"/>
  <c r="X18" i="14"/>
  <c r="X4" i="14"/>
  <c r="W5" i="14"/>
  <c r="X27" i="14"/>
  <c r="W9" i="14"/>
  <c r="W27" i="14"/>
  <c r="X10" i="14"/>
  <c r="X26" i="14"/>
  <c r="X16" i="14"/>
  <c r="W7" i="14"/>
  <c r="X21" i="14"/>
  <c r="W19" i="14"/>
  <c r="W10" i="14"/>
  <c r="W22" i="14"/>
  <c r="W21" i="14"/>
  <c r="W16" i="14"/>
  <c r="X22" i="14"/>
  <c r="X12" i="14"/>
  <c r="X9" i="14"/>
  <c r="W11" i="14"/>
  <c r="X15" i="14"/>
  <c r="X28" i="14"/>
  <c r="W23" i="14"/>
  <c r="W18" i="14"/>
  <c r="W25" i="14"/>
  <c r="W24" i="14"/>
  <c r="X19" i="14"/>
  <c r="X11" i="14"/>
  <c r="W13" i="14"/>
  <c r="W17" i="14"/>
  <c r="X23" i="14"/>
  <c r="W15" i="14"/>
  <c r="W29" i="14"/>
  <c r="W8" i="14"/>
  <c r="X24" i="14"/>
  <c r="W12" i="14"/>
  <c r="X6" i="14"/>
  <c r="X17" i="14"/>
  <c r="W20" i="14"/>
  <c r="X25" i="14"/>
  <c r="W28" i="14"/>
  <c r="X8" i="14"/>
  <c r="X13" i="14"/>
  <c r="X7" i="14"/>
  <c r="W6" i="14"/>
  <c r="X20" i="14"/>
  <c r="W14" i="14"/>
  <c r="W26" i="14"/>
  <c r="X14" i="14"/>
  <c r="E28" i="10"/>
  <c r="G28" i="10"/>
  <c r="G19" i="8"/>
  <c r="G18" i="8"/>
  <c r="G17" i="8"/>
  <c r="G16" i="8"/>
  <c r="G15" i="8"/>
  <c r="G14" i="8"/>
  <c r="G13" i="8"/>
  <c r="G11" i="8"/>
  <c r="G10" i="8"/>
  <c r="G9" i="8"/>
  <c r="G8" i="8"/>
  <c r="G7" i="8"/>
  <c r="G6" i="8"/>
  <c r="G5" i="8"/>
  <c r="G4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1" i="13"/>
  <c r="E10" i="13"/>
  <c r="E9" i="13"/>
  <c r="E8" i="13"/>
  <c r="E7" i="13"/>
  <c r="E5" i="13"/>
  <c r="E4" i="13"/>
  <c r="E3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1" i="13"/>
  <c r="G10" i="13"/>
  <c r="G9" i="13"/>
  <c r="G8" i="13"/>
  <c r="G7" i="13"/>
  <c r="G5" i="13"/>
  <c r="G4" i="13"/>
  <c r="G3" i="13"/>
  <c r="X30" i="14" l="1"/>
  <c r="F27" i="17"/>
  <c r="F29" i="17"/>
  <c r="H30" i="17"/>
  <c r="H27" i="17"/>
  <c r="H26" i="17"/>
  <c r="H29" i="17"/>
  <c r="F13" i="17"/>
  <c r="F24" i="17"/>
  <c r="H4" i="17"/>
  <c r="H9" i="17"/>
  <c r="H5" i="17"/>
  <c r="H21" i="17"/>
  <c r="F20" i="17"/>
  <c r="H20" i="17"/>
  <c r="H22" i="17"/>
  <c r="H18" i="17"/>
  <c r="H14" i="17"/>
  <c r="F18" i="17"/>
  <c r="H7" i="17"/>
  <c r="F28" i="17"/>
  <c r="F12" i="17"/>
  <c r="H28" i="17"/>
  <c r="F4" i="17"/>
  <c r="H25" i="17"/>
  <c r="F25" i="17"/>
  <c r="F10" i="17"/>
  <c r="H10" i="17"/>
  <c r="F21" i="17"/>
  <c r="F9" i="17"/>
  <c r="H11" i="17"/>
  <c r="H6" i="17"/>
  <c r="F30" i="17"/>
  <c r="H15" i="17"/>
  <c r="H12" i="17"/>
  <c r="H16" i="17"/>
  <c r="H17" i="17"/>
  <c r="F19" i="17"/>
  <c r="F23" i="17"/>
  <c r="F8" i="17"/>
  <c r="H19" i="17"/>
  <c r="H23" i="17"/>
  <c r="H8" i="17"/>
  <c r="F22" i="17"/>
  <c r="F26" i="17"/>
  <c r="H13" i="17"/>
  <c r="H24" i="17"/>
  <c r="F14" i="17"/>
  <c r="F11" i="17"/>
  <c r="F17" i="17"/>
  <c r="F6" i="17"/>
  <c r="F15" i="17"/>
  <c r="F16" i="17"/>
  <c r="F7" i="17"/>
  <c r="F5" i="17"/>
  <c r="B20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G4" i="16" l="1"/>
  <c r="D10" i="16"/>
  <c r="H9" i="16"/>
  <c r="F4" i="16"/>
  <c r="D17" i="16"/>
  <c r="H5" i="16"/>
  <c r="F11" i="16"/>
  <c r="H20" i="16"/>
  <c r="D9" i="16"/>
  <c r="H17" i="16"/>
  <c r="E8" i="16"/>
  <c r="E16" i="16"/>
  <c r="F19" i="16"/>
  <c r="G10" i="16"/>
  <c r="G18" i="16"/>
  <c r="H13" i="16"/>
  <c r="C9" i="16"/>
  <c r="D18" i="16"/>
  <c r="E9" i="16"/>
  <c r="E17" i="16"/>
  <c r="F8" i="16"/>
  <c r="F16" i="16"/>
  <c r="F20" i="16"/>
  <c r="G11" i="16"/>
  <c r="G15" i="16"/>
  <c r="G19" i="16"/>
  <c r="H10" i="16"/>
  <c r="H14" i="16"/>
  <c r="H18" i="16"/>
  <c r="D7" i="16"/>
  <c r="D11" i="16"/>
  <c r="D15" i="16"/>
  <c r="D19" i="16"/>
  <c r="E6" i="16"/>
  <c r="E10" i="16"/>
  <c r="E14" i="16"/>
  <c r="E18" i="16"/>
  <c r="F5" i="16"/>
  <c r="F9" i="16"/>
  <c r="F13" i="16"/>
  <c r="F17" i="16"/>
  <c r="G8" i="16"/>
  <c r="G12" i="16"/>
  <c r="G16" i="16"/>
  <c r="G20" i="16"/>
  <c r="H7" i="16"/>
  <c r="H11" i="16"/>
  <c r="H15" i="16"/>
  <c r="H19" i="16"/>
  <c r="D5" i="16"/>
  <c r="D13" i="16"/>
  <c r="E4" i="16"/>
  <c r="E12" i="16"/>
  <c r="E20" i="16"/>
  <c r="F7" i="16"/>
  <c r="F15" i="16"/>
  <c r="G6" i="16"/>
  <c r="G14" i="16"/>
  <c r="D6" i="16"/>
  <c r="D14" i="16"/>
  <c r="E5" i="16"/>
  <c r="E13" i="16"/>
  <c r="F12" i="16"/>
  <c r="G7" i="16"/>
  <c r="H6" i="16"/>
  <c r="C14" i="16"/>
  <c r="D4" i="16"/>
  <c r="D8" i="16"/>
  <c r="D12" i="16"/>
  <c r="D16" i="16"/>
  <c r="D20" i="16"/>
  <c r="E7" i="16"/>
  <c r="E11" i="16"/>
  <c r="E15" i="16"/>
  <c r="E19" i="16"/>
  <c r="F6" i="16"/>
  <c r="F10" i="16"/>
  <c r="F14" i="16"/>
  <c r="F18" i="16"/>
  <c r="G5" i="16"/>
  <c r="G9" i="16"/>
  <c r="G13" i="16"/>
  <c r="G17" i="16"/>
  <c r="H4" i="16"/>
  <c r="H8" i="16"/>
  <c r="H12" i="16"/>
  <c r="H16" i="16"/>
  <c r="C17" i="16"/>
  <c r="C10" i="16"/>
  <c r="C18" i="16"/>
  <c r="C7" i="16"/>
  <c r="C11" i="16"/>
  <c r="C15" i="16"/>
  <c r="C19" i="16"/>
  <c r="C5" i="16"/>
  <c r="C13" i="16"/>
  <c r="C20" i="16"/>
  <c r="C6" i="16"/>
  <c r="C4" i="16"/>
  <c r="C8" i="16"/>
  <c r="C12" i="16"/>
  <c r="C16" i="16"/>
  <c r="H3" i="23"/>
  <c r="G3" i="23"/>
  <c r="F3" i="23"/>
  <c r="E3" i="23"/>
  <c r="D3" i="23"/>
  <c r="C3" i="23"/>
  <c r="H3" i="22"/>
  <c r="G3" i="22"/>
  <c r="F3" i="22"/>
  <c r="E3" i="22"/>
  <c r="D3" i="22"/>
  <c r="C3" i="22"/>
  <c r="H3" i="21"/>
  <c r="G3" i="21"/>
  <c r="F3" i="21"/>
  <c r="E3" i="21"/>
  <c r="D3" i="21"/>
  <c r="C3" i="21"/>
  <c r="H3" i="20"/>
  <c r="G3" i="20"/>
  <c r="F3" i="20"/>
  <c r="E3" i="20"/>
  <c r="D3" i="20"/>
  <c r="C3" i="20"/>
  <c r="H3" i="19"/>
  <c r="G3" i="19"/>
  <c r="F3" i="19"/>
  <c r="E3" i="19"/>
  <c r="D3" i="19"/>
  <c r="C3" i="19"/>
  <c r="H3" i="17"/>
  <c r="G3" i="17"/>
  <c r="F3" i="17"/>
  <c r="E3" i="17"/>
  <c r="D3" i="17"/>
  <c r="C3" i="17"/>
  <c r="H3" i="16"/>
  <c r="G3" i="16"/>
  <c r="F3" i="16"/>
  <c r="E3" i="16"/>
  <c r="D3" i="16"/>
  <c r="C3" i="16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H3" i="18"/>
  <c r="G3" i="18"/>
  <c r="F3" i="18"/>
  <c r="E3" i="18"/>
  <c r="D3" i="18"/>
  <c r="C3" i="18"/>
  <c r="H3" i="15"/>
  <c r="G3" i="15"/>
  <c r="F3" i="15"/>
  <c r="E3" i="15"/>
  <c r="D3" i="15"/>
  <c r="C3" i="15"/>
  <c r="H3" i="14"/>
  <c r="G3" i="14"/>
  <c r="F3" i="14"/>
  <c r="E3" i="14"/>
  <c r="D3" i="14"/>
  <c r="C3" i="14"/>
  <c r="C19" i="15" l="1"/>
  <c r="D26" i="15"/>
  <c r="D22" i="15"/>
  <c r="D18" i="15"/>
  <c r="D14" i="15"/>
  <c r="D10" i="15"/>
  <c r="D6" i="15"/>
  <c r="D29" i="15"/>
  <c r="D21" i="15"/>
  <c r="D13" i="15"/>
  <c r="D5" i="15"/>
  <c r="D27" i="15"/>
  <c r="D23" i="15"/>
  <c r="D19" i="15"/>
  <c r="D15" i="15"/>
  <c r="D11" i="15"/>
  <c r="D7" i="15"/>
  <c r="D25" i="15"/>
  <c r="D17" i="15"/>
  <c r="D9" i="15"/>
  <c r="D20" i="15"/>
  <c r="D4" i="15"/>
  <c r="D16" i="15"/>
  <c r="D28" i="15"/>
  <c r="D12" i="15"/>
  <c r="D24" i="15"/>
  <c r="D8" i="15"/>
  <c r="E4" i="15"/>
  <c r="H5" i="15"/>
  <c r="F29" i="15"/>
  <c r="G29" i="15"/>
  <c r="F5" i="15"/>
  <c r="C4" i="15"/>
  <c r="G4" i="15"/>
  <c r="E6" i="15"/>
  <c r="F7" i="15"/>
  <c r="C8" i="15"/>
  <c r="G8" i="15"/>
  <c r="H9" i="15"/>
  <c r="E10" i="15"/>
  <c r="F11" i="15"/>
  <c r="C12" i="15"/>
  <c r="G12" i="15"/>
  <c r="H13" i="15"/>
  <c r="E14" i="15"/>
  <c r="F15" i="15"/>
  <c r="C16" i="15"/>
  <c r="G16" i="15"/>
  <c r="H17" i="15"/>
  <c r="E18" i="15"/>
  <c r="F19" i="15"/>
  <c r="C20" i="15"/>
  <c r="G20" i="15"/>
  <c r="H21" i="15"/>
  <c r="E22" i="15"/>
  <c r="F23" i="15"/>
  <c r="C24" i="15"/>
  <c r="G24" i="15"/>
  <c r="H25" i="15"/>
  <c r="E26" i="15"/>
  <c r="F27" i="15"/>
  <c r="C28" i="15"/>
  <c r="G28" i="15"/>
  <c r="H29" i="15"/>
  <c r="H4" i="15"/>
  <c r="E5" i="15"/>
  <c r="F6" i="15"/>
  <c r="C7" i="15"/>
  <c r="G7" i="15"/>
  <c r="H8" i="15"/>
  <c r="E9" i="15"/>
  <c r="F10" i="15"/>
  <c r="C11" i="15"/>
  <c r="G11" i="15"/>
  <c r="H12" i="15"/>
  <c r="E13" i="15"/>
  <c r="F14" i="15"/>
  <c r="C15" i="15"/>
  <c r="G15" i="15"/>
  <c r="H16" i="15"/>
  <c r="E17" i="15"/>
  <c r="F18" i="15"/>
  <c r="G19" i="15"/>
  <c r="H20" i="15"/>
  <c r="E21" i="15"/>
  <c r="F22" i="15"/>
  <c r="C23" i="15"/>
  <c r="G23" i="15"/>
  <c r="H24" i="15"/>
  <c r="E25" i="15"/>
  <c r="F26" i="15"/>
  <c r="C27" i="15"/>
  <c r="G27" i="15"/>
  <c r="H28" i="15"/>
  <c r="E29" i="15"/>
  <c r="C6" i="15"/>
  <c r="G6" i="15"/>
  <c r="H7" i="15"/>
  <c r="E8" i="15"/>
  <c r="F9" i="15"/>
  <c r="C10" i="15"/>
  <c r="G10" i="15"/>
  <c r="H11" i="15"/>
  <c r="E12" i="15"/>
  <c r="F13" i="15"/>
  <c r="C14" i="15"/>
  <c r="G14" i="15"/>
  <c r="H15" i="15"/>
  <c r="E16" i="15"/>
  <c r="F17" i="15"/>
  <c r="C18" i="15"/>
  <c r="G18" i="15"/>
  <c r="H19" i="15"/>
  <c r="E20" i="15"/>
  <c r="F21" i="15"/>
  <c r="C22" i="15"/>
  <c r="G22" i="15"/>
  <c r="H23" i="15"/>
  <c r="E24" i="15"/>
  <c r="F25" i="15"/>
  <c r="C26" i="15"/>
  <c r="G26" i="15"/>
  <c r="H27" i="15"/>
  <c r="E28" i="15"/>
  <c r="F4" i="15"/>
  <c r="C5" i="15"/>
  <c r="G5" i="15"/>
  <c r="H6" i="15"/>
  <c r="E7" i="15"/>
  <c r="F8" i="15"/>
  <c r="C9" i="15"/>
  <c r="G9" i="15"/>
  <c r="H10" i="15"/>
  <c r="E11" i="15"/>
  <c r="F12" i="15"/>
  <c r="C13" i="15"/>
  <c r="G13" i="15"/>
  <c r="H14" i="15"/>
  <c r="E15" i="15"/>
  <c r="F16" i="15"/>
  <c r="C17" i="15"/>
  <c r="G17" i="15"/>
  <c r="H18" i="15"/>
  <c r="E19" i="15"/>
  <c r="F20" i="15"/>
  <c r="C21" i="15"/>
  <c r="G21" i="15"/>
  <c r="H22" i="15"/>
  <c r="E23" i="15"/>
  <c r="F24" i="15"/>
  <c r="C25" i="15"/>
  <c r="G25" i="15"/>
  <c r="H26" i="15"/>
  <c r="E27" i="15"/>
  <c r="F28" i="15"/>
  <c r="C29" i="15"/>
  <c r="G28" i="1" l="1"/>
  <c r="H29" i="14" s="1"/>
  <c r="G4" i="14"/>
  <c r="G29" i="14"/>
  <c r="B29" i="19"/>
  <c r="B25" i="19"/>
  <c r="B21" i="19"/>
  <c r="B17" i="19"/>
  <c r="B13" i="19"/>
  <c r="B9" i="19"/>
  <c r="B5" i="19"/>
  <c r="B28" i="19"/>
  <c r="B24" i="19"/>
  <c r="B20" i="19"/>
  <c r="B16" i="19"/>
  <c r="B12" i="19"/>
  <c r="B8" i="19"/>
  <c r="B27" i="19"/>
  <c r="B23" i="19"/>
  <c r="B19" i="19"/>
  <c r="B15" i="19"/>
  <c r="B11" i="19"/>
  <c r="B7" i="19"/>
  <c r="B26" i="19"/>
  <c r="B22" i="19"/>
  <c r="B18" i="19"/>
  <c r="B14" i="19"/>
  <c r="B10" i="19"/>
  <c r="B6" i="19"/>
  <c r="B4" i="19"/>
  <c r="B23" i="18"/>
  <c r="B19" i="18"/>
  <c r="B15" i="18"/>
  <c r="B11" i="18"/>
  <c r="B7" i="18"/>
  <c r="B22" i="18"/>
  <c r="B18" i="18"/>
  <c r="B14" i="18"/>
  <c r="B10" i="18"/>
  <c r="B6" i="18"/>
  <c r="B4" i="18"/>
  <c r="B25" i="18"/>
  <c r="B21" i="18"/>
  <c r="B17" i="18"/>
  <c r="B13" i="18"/>
  <c r="B9" i="18"/>
  <c r="B5" i="18"/>
  <c r="B24" i="18"/>
  <c r="B20" i="18"/>
  <c r="B16" i="18"/>
  <c r="B12" i="18"/>
  <c r="B8" i="18"/>
  <c r="F29" i="14"/>
  <c r="D26" i="19" l="1"/>
  <c r="D22" i="19"/>
  <c r="D18" i="19"/>
  <c r="D14" i="19"/>
  <c r="D10" i="19"/>
  <c r="D6" i="19"/>
  <c r="D29" i="19"/>
  <c r="D21" i="19"/>
  <c r="D13" i="19"/>
  <c r="D5" i="19"/>
  <c r="D27" i="19"/>
  <c r="D23" i="19"/>
  <c r="D19" i="19"/>
  <c r="D15" i="19"/>
  <c r="D11" i="19"/>
  <c r="D7" i="19"/>
  <c r="D25" i="19"/>
  <c r="D17" i="19"/>
  <c r="D9" i="19"/>
  <c r="D20" i="19"/>
  <c r="D4" i="19"/>
  <c r="D16" i="19"/>
  <c r="D28" i="19"/>
  <c r="D12" i="19"/>
  <c r="D24" i="19"/>
  <c r="D8" i="19"/>
  <c r="D24" i="18"/>
  <c r="D20" i="18"/>
  <c r="D16" i="18"/>
  <c r="D12" i="18"/>
  <c r="D8" i="18"/>
  <c r="D4" i="18"/>
  <c r="D19" i="18"/>
  <c r="D11" i="18"/>
  <c r="D25" i="18"/>
  <c r="D21" i="18"/>
  <c r="D17" i="18"/>
  <c r="D13" i="18"/>
  <c r="D9" i="18"/>
  <c r="D5" i="18"/>
  <c r="D23" i="18"/>
  <c r="D15" i="18"/>
  <c r="D7" i="18"/>
  <c r="D14" i="18"/>
  <c r="D10" i="18"/>
  <c r="D22" i="18"/>
  <c r="D6" i="18"/>
  <c r="D18" i="18"/>
  <c r="C6" i="19"/>
  <c r="G19" i="19"/>
  <c r="C27" i="19"/>
  <c r="G18" i="19"/>
  <c r="C5" i="19"/>
  <c r="E7" i="19"/>
  <c r="C13" i="19"/>
  <c r="E15" i="19"/>
  <c r="C21" i="19"/>
  <c r="E23" i="19"/>
  <c r="C29" i="19"/>
  <c r="E5" i="19"/>
  <c r="C15" i="19"/>
  <c r="E17" i="19"/>
  <c r="G23" i="19"/>
  <c r="G22" i="19"/>
  <c r="G4" i="19"/>
  <c r="G12" i="19"/>
  <c r="G20" i="19"/>
  <c r="G28" i="19"/>
  <c r="E24" i="19"/>
  <c r="C10" i="19"/>
  <c r="E12" i="19"/>
  <c r="C26" i="19"/>
  <c r="E28" i="19"/>
  <c r="G5" i="19"/>
  <c r="G13" i="19"/>
  <c r="G21" i="19"/>
  <c r="G29" i="19"/>
  <c r="C7" i="19"/>
  <c r="E9" i="19"/>
  <c r="G15" i="19"/>
  <c r="E25" i="19"/>
  <c r="C14" i="19"/>
  <c r="E16" i="19"/>
  <c r="C8" i="19"/>
  <c r="E10" i="19"/>
  <c r="C16" i="19"/>
  <c r="E18" i="19"/>
  <c r="C24" i="19"/>
  <c r="E26" i="19"/>
  <c r="G6" i="19"/>
  <c r="C11" i="19"/>
  <c r="E13" i="19"/>
  <c r="E29" i="19"/>
  <c r="G10" i="19"/>
  <c r="G26" i="19"/>
  <c r="C9" i="19"/>
  <c r="E11" i="19"/>
  <c r="C17" i="19"/>
  <c r="E19" i="19"/>
  <c r="C25" i="19"/>
  <c r="E27" i="19"/>
  <c r="G7" i="19"/>
  <c r="G14" i="19"/>
  <c r="G8" i="19"/>
  <c r="G16" i="19"/>
  <c r="G24" i="19"/>
  <c r="G11" i="19"/>
  <c r="C19" i="19"/>
  <c r="E21" i="19"/>
  <c r="E4" i="19"/>
  <c r="C18" i="19"/>
  <c r="E20" i="19"/>
  <c r="G9" i="19"/>
  <c r="G17" i="19"/>
  <c r="G25" i="19"/>
  <c r="C23" i="19"/>
  <c r="G27" i="19"/>
  <c r="E8" i="19"/>
  <c r="C22" i="19"/>
  <c r="C4" i="19"/>
  <c r="E6" i="19"/>
  <c r="C12" i="19"/>
  <c r="E14" i="19"/>
  <c r="C20" i="19"/>
  <c r="E22" i="19"/>
  <c r="C28" i="19"/>
  <c r="C4" i="18"/>
  <c r="C8" i="18"/>
  <c r="E10" i="18"/>
  <c r="C16" i="18"/>
  <c r="E18" i="18"/>
  <c r="C24" i="18"/>
  <c r="C7" i="18"/>
  <c r="E9" i="18"/>
  <c r="C15" i="18"/>
  <c r="E17" i="18"/>
  <c r="C23" i="18"/>
  <c r="E25" i="18"/>
  <c r="C10" i="18"/>
  <c r="E12" i="18"/>
  <c r="C18" i="18"/>
  <c r="E20" i="18"/>
  <c r="G9" i="18"/>
  <c r="G17" i="18"/>
  <c r="G25" i="18"/>
  <c r="G8" i="18"/>
  <c r="G16" i="18"/>
  <c r="G24" i="18"/>
  <c r="G7" i="18"/>
  <c r="G15" i="18"/>
  <c r="G23" i="18"/>
  <c r="G10" i="18"/>
  <c r="G18" i="18"/>
  <c r="C5" i="18"/>
  <c r="E7" i="18"/>
  <c r="C13" i="18"/>
  <c r="E15" i="18"/>
  <c r="C21" i="18"/>
  <c r="E23" i="18"/>
  <c r="E4" i="18"/>
  <c r="E6" i="18"/>
  <c r="C12" i="18"/>
  <c r="E14" i="18"/>
  <c r="C20" i="18"/>
  <c r="E22" i="18"/>
  <c r="E5" i="18"/>
  <c r="C11" i="18"/>
  <c r="E13" i="18"/>
  <c r="C19" i="18"/>
  <c r="E21" i="18"/>
  <c r="C6" i="18"/>
  <c r="E8" i="18"/>
  <c r="C14" i="18"/>
  <c r="E16" i="18"/>
  <c r="C22" i="18"/>
  <c r="E24" i="18"/>
  <c r="G5" i="18"/>
  <c r="G13" i="18"/>
  <c r="G21" i="18"/>
  <c r="G4" i="18"/>
  <c r="G12" i="18"/>
  <c r="G20" i="18"/>
  <c r="G11" i="18"/>
  <c r="G19" i="18"/>
  <c r="G6" i="18"/>
  <c r="G14" i="18"/>
  <c r="G22" i="18"/>
  <c r="C9" i="18"/>
  <c r="E11" i="18"/>
  <c r="C17" i="18"/>
  <c r="E19" i="18"/>
  <c r="C25" i="18"/>
  <c r="F29" i="11"/>
  <c r="D29" i="11"/>
  <c r="C29" i="11"/>
  <c r="G28" i="11"/>
  <c r="E28" i="11"/>
  <c r="G27" i="11"/>
  <c r="E27" i="11"/>
  <c r="G26" i="11"/>
  <c r="E26" i="11"/>
  <c r="G25" i="11"/>
  <c r="E25" i="11"/>
  <c r="G24" i="11"/>
  <c r="E24" i="11"/>
  <c r="G23" i="11"/>
  <c r="E23" i="11"/>
  <c r="G22" i="11"/>
  <c r="E22" i="11"/>
  <c r="G21" i="11"/>
  <c r="E21" i="11"/>
  <c r="G20" i="11"/>
  <c r="E20" i="11"/>
  <c r="G19" i="11"/>
  <c r="E19" i="11"/>
  <c r="G18" i="11"/>
  <c r="E18" i="11"/>
  <c r="G17" i="11"/>
  <c r="E17" i="11"/>
  <c r="G16" i="11"/>
  <c r="E16" i="11"/>
  <c r="G15" i="11"/>
  <c r="E15" i="11"/>
  <c r="G14" i="11"/>
  <c r="E14" i="11"/>
  <c r="G13" i="11"/>
  <c r="E13" i="11"/>
  <c r="G12" i="11"/>
  <c r="E12" i="11"/>
  <c r="G11" i="11"/>
  <c r="E11" i="11"/>
  <c r="G10" i="11"/>
  <c r="E10" i="11"/>
  <c r="G9" i="11"/>
  <c r="E9" i="11"/>
  <c r="G8" i="11"/>
  <c r="E8" i="11"/>
  <c r="G7" i="11"/>
  <c r="E7" i="11"/>
  <c r="G6" i="11"/>
  <c r="E6" i="11"/>
  <c r="G5" i="11"/>
  <c r="E5" i="11"/>
  <c r="B27" i="23" l="1"/>
  <c r="B23" i="23"/>
  <c r="B19" i="23"/>
  <c r="B15" i="23"/>
  <c r="B11" i="23"/>
  <c r="B7" i="23"/>
  <c r="B26" i="23"/>
  <c r="B22" i="23"/>
  <c r="B18" i="23"/>
  <c r="B14" i="23"/>
  <c r="B10" i="23"/>
  <c r="B6" i="23"/>
  <c r="B29" i="23"/>
  <c r="B25" i="23"/>
  <c r="B21" i="23"/>
  <c r="B17" i="23"/>
  <c r="B13" i="23"/>
  <c r="B9" i="23"/>
  <c r="B5" i="23"/>
  <c r="B28" i="23"/>
  <c r="B24" i="23"/>
  <c r="B20" i="23"/>
  <c r="B16" i="23"/>
  <c r="B12" i="23"/>
  <c r="B8" i="23"/>
  <c r="B4" i="23"/>
  <c r="E29" i="11"/>
  <c r="G29" i="11"/>
  <c r="D28" i="5"/>
  <c r="D29" i="23" l="1"/>
  <c r="D25" i="23"/>
  <c r="D21" i="23"/>
  <c r="D17" i="23"/>
  <c r="D13" i="23"/>
  <c r="D9" i="23"/>
  <c r="D5" i="23"/>
  <c r="D24" i="23"/>
  <c r="D20" i="23"/>
  <c r="D16" i="23"/>
  <c r="D12" i="23"/>
  <c r="D8" i="23"/>
  <c r="D4" i="23"/>
  <c r="D19" i="23"/>
  <c r="D15" i="23"/>
  <c r="D28" i="23"/>
  <c r="D27" i="23"/>
  <c r="D26" i="23"/>
  <c r="D22" i="23"/>
  <c r="D18" i="23"/>
  <c r="D14" i="23"/>
  <c r="D10" i="23"/>
  <c r="D6" i="23"/>
  <c r="D23" i="23"/>
  <c r="D11" i="23"/>
  <c r="D7" i="23"/>
  <c r="G5" i="23"/>
  <c r="F8" i="23"/>
  <c r="C25" i="23"/>
  <c r="E27" i="23"/>
  <c r="C8" i="23"/>
  <c r="H13" i="23"/>
  <c r="G24" i="23"/>
  <c r="F27" i="23"/>
  <c r="E5" i="23"/>
  <c r="C11" i="23"/>
  <c r="E13" i="23"/>
  <c r="C19" i="23"/>
  <c r="E21" i="23"/>
  <c r="C27" i="23"/>
  <c r="E29" i="23"/>
  <c r="H10" i="23"/>
  <c r="G13" i="23"/>
  <c r="F20" i="23"/>
  <c r="H22" i="23"/>
  <c r="G4" i="23"/>
  <c r="G8" i="23"/>
  <c r="F11" i="23"/>
  <c r="C20" i="23"/>
  <c r="E22" i="23"/>
  <c r="E4" i="23"/>
  <c r="C10" i="23"/>
  <c r="E12" i="23"/>
  <c r="C18" i="23"/>
  <c r="E20" i="23"/>
  <c r="C26" i="23"/>
  <c r="E28" i="23"/>
  <c r="F29" i="23"/>
  <c r="F16" i="23"/>
  <c r="H18" i="23"/>
  <c r="G25" i="23"/>
  <c r="F28" i="23"/>
  <c r="C12" i="23"/>
  <c r="E14" i="23"/>
  <c r="H29" i="23"/>
  <c r="F6" i="23"/>
  <c r="H8" i="23"/>
  <c r="G11" i="23"/>
  <c r="F14" i="23"/>
  <c r="H16" i="23"/>
  <c r="G19" i="23"/>
  <c r="F22" i="23"/>
  <c r="H24" i="23"/>
  <c r="G27" i="23"/>
  <c r="C9" i="23"/>
  <c r="E11" i="23"/>
  <c r="C21" i="23"/>
  <c r="E23" i="23"/>
  <c r="F15" i="23"/>
  <c r="H17" i="23"/>
  <c r="G20" i="23"/>
  <c r="C28" i="23"/>
  <c r="F5" i="23"/>
  <c r="H7" i="23"/>
  <c r="G10" i="23"/>
  <c r="F13" i="23"/>
  <c r="H15" i="23"/>
  <c r="G18" i="23"/>
  <c r="F21" i="23"/>
  <c r="H23" i="23"/>
  <c r="G26" i="23"/>
  <c r="H11" i="23"/>
  <c r="H19" i="23"/>
  <c r="G22" i="23"/>
  <c r="H27" i="23"/>
  <c r="F4" i="23"/>
  <c r="H6" i="23"/>
  <c r="C17" i="23"/>
  <c r="E19" i="23"/>
  <c r="G29" i="23"/>
  <c r="G12" i="23"/>
  <c r="F23" i="23"/>
  <c r="H25" i="23"/>
  <c r="C7" i="23"/>
  <c r="E9" i="23"/>
  <c r="C15" i="23"/>
  <c r="E17" i="23"/>
  <c r="C23" i="23"/>
  <c r="E25" i="23"/>
  <c r="G9" i="23"/>
  <c r="F12" i="23"/>
  <c r="H14" i="23"/>
  <c r="G21" i="23"/>
  <c r="C29" i="23"/>
  <c r="H5" i="23"/>
  <c r="H9" i="23"/>
  <c r="C16" i="23"/>
  <c r="E18" i="23"/>
  <c r="G28" i="23"/>
  <c r="C6" i="23"/>
  <c r="E8" i="23"/>
  <c r="C14" i="23"/>
  <c r="E16" i="23"/>
  <c r="C22" i="23"/>
  <c r="E24" i="23"/>
  <c r="C5" i="23"/>
  <c r="E7" i="23"/>
  <c r="G17" i="23"/>
  <c r="F24" i="23"/>
  <c r="H26" i="23"/>
  <c r="F7" i="23"/>
  <c r="C24" i="23"/>
  <c r="E26" i="23"/>
  <c r="H4" i="23"/>
  <c r="G7" i="23"/>
  <c r="F10" i="23"/>
  <c r="H12" i="23"/>
  <c r="G15" i="23"/>
  <c r="F18" i="23"/>
  <c r="H20" i="23"/>
  <c r="G23" i="23"/>
  <c r="F26" i="23"/>
  <c r="H28" i="23"/>
  <c r="C13" i="23"/>
  <c r="E15" i="23"/>
  <c r="C4" i="23"/>
  <c r="E6" i="23"/>
  <c r="E10" i="23"/>
  <c r="G16" i="23"/>
  <c r="F19" i="23"/>
  <c r="H21" i="23"/>
  <c r="G6" i="23"/>
  <c r="F9" i="23"/>
  <c r="G14" i="23"/>
  <c r="F17" i="23"/>
  <c r="F25" i="23"/>
  <c r="F28" i="5" l="1"/>
  <c r="D28" i="4" l="1"/>
  <c r="C28" i="5"/>
  <c r="B27" i="21" l="1"/>
  <c r="B23" i="21"/>
  <c r="B19" i="21"/>
  <c r="B15" i="21"/>
  <c r="B11" i="21"/>
  <c r="B7" i="21"/>
  <c r="B26" i="21"/>
  <c r="B22" i="21"/>
  <c r="B18" i="21"/>
  <c r="B14" i="21"/>
  <c r="B10" i="21"/>
  <c r="B6" i="21"/>
  <c r="B29" i="21"/>
  <c r="B25" i="21"/>
  <c r="B21" i="21"/>
  <c r="B17" i="21"/>
  <c r="B13" i="21"/>
  <c r="B9" i="21"/>
  <c r="B5" i="21"/>
  <c r="B28" i="21"/>
  <c r="B24" i="21"/>
  <c r="B20" i="21"/>
  <c r="B16" i="21"/>
  <c r="B12" i="21"/>
  <c r="B8" i="21"/>
  <c r="B4" i="21"/>
  <c r="B27" i="20"/>
  <c r="B23" i="20"/>
  <c r="B19" i="20"/>
  <c r="B15" i="20"/>
  <c r="B11" i="20"/>
  <c r="B7" i="20"/>
  <c r="B26" i="20"/>
  <c r="B22" i="20"/>
  <c r="B18" i="20"/>
  <c r="B14" i="20"/>
  <c r="B10" i="20"/>
  <c r="B6" i="20"/>
  <c r="B29" i="20"/>
  <c r="B25" i="20"/>
  <c r="B21" i="20"/>
  <c r="B17" i="20"/>
  <c r="B13" i="20"/>
  <c r="B9" i="20"/>
  <c r="B5" i="20"/>
  <c r="B28" i="20"/>
  <c r="B24" i="20"/>
  <c r="B20" i="20"/>
  <c r="B16" i="20"/>
  <c r="B12" i="20"/>
  <c r="B8" i="20"/>
  <c r="B4" i="20"/>
  <c r="D29" i="21" l="1"/>
  <c r="D25" i="21"/>
  <c r="D21" i="21"/>
  <c r="D17" i="21"/>
  <c r="D13" i="21"/>
  <c r="D9" i="21"/>
  <c r="D5" i="21"/>
  <c r="D28" i="21"/>
  <c r="D20" i="21"/>
  <c r="D12" i="21"/>
  <c r="D26" i="21"/>
  <c r="D22" i="21"/>
  <c r="D18" i="21"/>
  <c r="D14" i="21"/>
  <c r="D10" i="21"/>
  <c r="D6" i="21"/>
  <c r="D24" i="21"/>
  <c r="D16" i="21"/>
  <c r="D8" i="21"/>
  <c r="D4" i="21"/>
  <c r="D15" i="21"/>
  <c r="D27" i="21"/>
  <c r="D11" i="21"/>
  <c r="D23" i="21"/>
  <c r="D7" i="21"/>
  <c r="D19" i="21"/>
  <c r="D28" i="20"/>
  <c r="D24" i="20"/>
  <c r="D20" i="20"/>
  <c r="D16" i="20"/>
  <c r="D12" i="20"/>
  <c r="D8" i="20"/>
  <c r="D4" i="20"/>
  <c r="D27" i="20"/>
  <c r="D19" i="20"/>
  <c r="D11" i="20"/>
  <c r="D29" i="20"/>
  <c r="D25" i="20"/>
  <c r="D21" i="20"/>
  <c r="D17" i="20"/>
  <c r="D13" i="20"/>
  <c r="D9" i="20"/>
  <c r="D5" i="20"/>
  <c r="D23" i="20"/>
  <c r="D15" i="20"/>
  <c r="D7" i="20"/>
  <c r="D26" i="20"/>
  <c r="D10" i="20"/>
  <c r="D22" i="20"/>
  <c r="D6" i="20"/>
  <c r="D18" i="20"/>
  <c r="G29" i="20"/>
  <c r="D14" i="20"/>
  <c r="E5" i="21"/>
  <c r="E20" i="21"/>
  <c r="C11" i="21"/>
  <c r="E13" i="21"/>
  <c r="C23" i="21"/>
  <c r="G27" i="21"/>
  <c r="G14" i="21"/>
  <c r="G26" i="21"/>
  <c r="C9" i="21"/>
  <c r="E11" i="21"/>
  <c r="C17" i="21"/>
  <c r="E19" i="21"/>
  <c r="C25" i="21"/>
  <c r="E27" i="21"/>
  <c r="C19" i="21"/>
  <c r="E21" i="21"/>
  <c r="C18" i="21"/>
  <c r="C4" i="21"/>
  <c r="E6" i="21"/>
  <c r="C12" i="21"/>
  <c r="E14" i="21"/>
  <c r="C20" i="21"/>
  <c r="E22" i="21"/>
  <c r="C28" i="21"/>
  <c r="E4" i="21"/>
  <c r="G11" i="21"/>
  <c r="G23" i="21"/>
  <c r="E29" i="21"/>
  <c r="C22" i="21"/>
  <c r="E24" i="21"/>
  <c r="G9" i="21"/>
  <c r="G17" i="21"/>
  <c r="G25" i="21"/>
  <c r="G19" i="21"/>
  <c r="C27" i="21"/>
  <c r="C10" i="21"/>
  <c r="E12" i="21"/>
  <c r="G18" i="21"/>
  <c r="G4" i="21"/>
  <c r="G12" i="21"/>
  <c r="G20" i="21"/>
  <c r="G28" i="21"/>
  <c r="C15" i="21"/>
  <c r="E17" i="21"/>
  <c r="E25" i="21"/>
  <c r="C6" i="21"/>
  <c r="E8" i="21"/>
  <c r="G22" i="21"/>
  <c r="C5" i="21"/>
  <c r="E7" i="21"/>
  <c r="C13" i="21"/>
  <c r="E15" i="21"/>
  <c r="C21" i="21"/>
  <c r="E23" i="21"/>
  <c r="C29" i="21"/>
  <c r="C7" i="21"/>
  <c r="E9" i="21"/>
  <c r="G10" i="21"/>
  <c r="C8" i="21"/>
  <c r="E10" i="21"/>
  <c r="C16" i="21"/>
  <c r="E18" i="21"/>
  <c r="C24" i="21"/>
  <c r="E26" i="21"/>
  <c r="G15" i="21"/>
  <c r="G6" i="21"/>
  <c r="C14" i="21"/>
  <c r="E16" i="21"/>
  <c r="C26" i="21"/>
  <c r="E28" i="21"/>
  <c r="G5" i="21"/>
  <c r="G13" i="21"/>
  <c r="G21" i="21"/>
  <c r="G29" i="21"/>
  <c r="G7" i="21"/>
  <c r="G8" i="21"/>
  <c r="G16" i="21"/>
  <c r="G24" i="21"/>
  <c r="C7" i="20"/>
  <c r="E9" i="20"/>
  <c r="C15" i="20"/>
  <c r="E17" i="20"/>
  <c r="C23" i="20"/>
  <c r="E25" i="20"/>
  <c r="G10" i="20"/>
  <c r="G18" i="20"/>
  <c r="G26" i="20"/>
  <c r="C9" i="20"/>
  <c r="E11" i="20"/>
  <c r="C17" i="20"/>
  <c r="E19" i="20"/>
  <c r="C25" i="20"/>
  <c r="E27" i="20"/>
  <c r="C4" i="20"/>
  <c r="E6" i="20"/>
  <c r="C12" i="20"/>
  <c r="E14" i="20"/>
  <c r="C20" i="20"/>
  <c r="E22" i="20"/>
  <c r="C28" i="20"/>
  <c r="G7" i="20"/>
  <c r="G15" i="20"/>
  <c r="G23" i="20"/>
  <c r="C6" i="20"/>
  <c r="E8" i="20"/>
  <c r="C14" i="20"/>
  <c r="E16" i="20"/>
  <c r="C22" i="20"/>
  <c r="E24" i="20"/>
  <c r="G9" i="20"/>
  <c r="G17" i="20"/>
  <c r="G25" i="20"/>
  <c r="G4" i="20"/>
  <c r="G12" i="20"/>
  <c r="G20" i="20"/>
  <c r="G28" i="20"/>
  <c r="E5" i="20"/>
  <c r="C11" i="20"/>
  <c r="E13" i="20"/>
  <c r="C19" i="20"/>
  <c r="E21" i="20"/>
  <c r="C27" i="20"/>
  <c r="E29" i="20"/>
  <c r="G6" i="20"/>
  <c r="G14" i="20"/>
  <c r="G22" i="20"/>
  <c r="C5" i="20"/>
  <c r="E7" i="20"/>
  <c r="C13" i="20"/>
  <c r="E15" i="20"/>
  <c r="C21" i="20"/>
  <c r="E23" i="20"/>
  <c r="C29" i="20"/>
  <c r="C8" i="20"/>
  <c r="E10" i="20"/>
  <c r="C16" i="20"/>
  <c r="E18" i="20"/>
  <c r="C24" i="20"/>
  <c r="E26" i="20"/>
  <c r="G11" i="20"/>
  <c r="G19" i="20"/>
  <c r="G27" i="20"/>
  <c r="E4" i="20"/>
  <c r="C10" i="20"/>
  <c r="E12" i="20"/>
  <c r="C18" i="20"/>
  <c r="E20" i="20"/>
  <c r="C26" i="20"/>
  <c r="E28" i="20"/>
  <c r="G5" i="20"/>
  <c r="G13" i="20"/>
  <c r="G21" i="20"/>
  <c r="G8" i="20"/>
  <c r="G16" i="20"/>
  <c r="G24" i="20"/>
  <c r="K23" i="2"/>
  <c r="K10" i="2"/>
  <c r="J2" i="2"/>
  <c r="J2" i="10"/>
  <c r="H24" i="14" l="1"/>
  <c r="H5" i="14"/>
  <c r="F14" i="14"/>
  <c r="F24" i="14"/>
  <c r="F5" i="14"/>
  <c r="G27" i="6" l="1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G27" i="5"/>
  <c r="G26" i="5"/>
  <c r="H28" i="21" s="1"/>
  <c r="G25" i="5"/>
  <c r="G24" i="5"/>
  <c r="G23" i="5"/>
  <c r="G22" i="5"/>
  <c r="G21" i="5"/>
  <c r="G20" i="5"/>
  <c r="G19" i="5"/>
  <c r="H27" i="21" s="1"/>
  <c r="G18" i="5"/>
  <c r="G17" i="5"/>
  <c r="G16" i="5"/>
  <c r="G15" i="5"/>
  <c r="G14" i="5"/>
  <c r="G13" i="5"/>
  <c r="G12" i="5"/>
  <c r="G11" i="5"/>
  <c r="G10" i="5"/>
  <c r="G9" i="5"/>
  <c r="G8" i="5"/>
  <c r="H9" i="21" s="1"/>
  <c r="G7" i="5"/>
  <c r="G6" i="5"/>
  <c r="G5" i="5"/>
  <c r="G4" i="5"/>
  <c r="H24" i="21" s="1"/>
  <c r="G3" i="5"/>
  <c r="H5" i="21" s="1"/>
  <c r="E27" i="5"/>
  <c r="E26" i="5"/>
  <c r="F28" i="21" s="1"/>
  <c r="E25" i="5"/>
  <c r="E24" i="5"/>
  <c r="E23" i="5"/>
  <c r="E22" i="5"/>
  <c r="E21" i="5"/>
  <c r="E20" i="5"/>
  <c r="E19" i="5"/>
  <c r="F27" i="21" s="1"/>
  <c r="E18" i="5"/>
  <c r="E17" i="5"/>
  <c r="E16" i="5"/>
  <c r="E15" i="5"/>
  <c r="E14" i="5"/>
  <c r="E13" i="5"/>
  <c r="E12" i="5"/>
  <c r="E11" i="5"/>
  <c r="E10" i="5"/>
  <c r="E9" i="5"/>
  <c r="E8" i="5"/>
  <c r="F9" i="21" s="1"/>
  <c r="E7" i="5"/>
  <c r="F25" i="21" s="1"/>
  <c r="E6" i="5"/>
  <c r="E5" i="5"/>
  <c r="E4" i="5"/>
  <c r="F24" i="21" s="1"/>
  <c r="E3" i="5"/>
  <c r="F5" i="21" s="1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H6" i="20" s="1"/>
  <c r="F6" i="20"/>
  <c r="G22" i="3"/>
  <c r="G27" i="3"/>
  <c r="G26" i="3"/>
  <c r="H28" i="19" s="1"/>
  <c r="G25" i="3"/>
  <c r="G24" i="3"/>
  <c r="G23" i="3"/>
  <c r="H7" i="19" s="1"/>
  <c r="G21" i="3"/>
  <c r="G20" i="3"/>
  <c r="G19" i="3"/>
  <c r="G18" i="3"/>
  <c r="G17" i="3"/>
  <c r="H23" i="19" s="1"/>
  <c r="G16" i="3"/>
  <c r="G15" i="3"/>
  <c r="G14" i="3"/>
  <c r="G13" i="3"/>
  <c r="G12" i="3"/>
  <c r="G11" i="3"/>
  <c r="H19" i="19" s="1"/>
  <c r="G10" i="3"/>
  <c r="G9" i="3"/>
  <c r="G8" i="3"/>
  <c r="G7" i="3"/>
  <c r="G6" i="3"/>
  <c r="G5" i="3"/>
  <c r="G4" i="3"/>
  <c r="H24" i="19" s="1"/>
  <c r="G3" i="3"/>
  <c r="E26" i="3"/>
  <c r="F28" i="19" s="1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F24" i="19" s="1"/>
  <c r="E3" i="3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9" i="2"/>
  <c r="G8" i="2"/>
  <c r="G7" i="2"/>
  <c r="G6" i="2"/>
  <c r="G5" i="2"/>
  <c r="G4" i="2"/>
  <c r="G3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H6" i="14"/>
  <c r="H28" i="14"/>
  <c r="H16" i="14"/>
  <c r="H4" i="14"/>
  <c r="H7" i="14"/>
  <c r="F6" i="14"/>
  <c r="H20" i="14"/>
  <c r="H12" i="14"/>
  <c r="H13" i="14"/>
  <c r="H27" i="14"/>
  <c r="H17" i="14"/>
  <c r="H23" i="14"/>
  <c r="H22" i="14"/>
  <c r="H19" i="14"/>
  <c r="H15" i="14"/>
  <c r="H18" i="14"/>
  <c r="H11" i="14"/>
  <c r="H21" i="14"/>
  <c r="H9" i="14"/>
  <c r="H10" i="14"/>
  <c r="H8" i="14"/>
  <c r="H25" i="14"/>
  <c r="H26" i="14"/>
  <c r="H14" i="14"/>
  <c r="F28" i="14"/>
  <c r="F16" i="14"/>
  <c r="F4" i="14"/>
  <c r="F7" i="14"/>
  <c r="F20" i="14"/>
  <c r="F12" i="14"/>
  <c r="F13" i="14"/>
  <c r="F27" i="14"/>
  <c r="F17" i="14"/>
  <c r="F23" i="14"/>
  <c r="F22" i="14"/>
  <c r="F19" i="14"/>
  <c r="F15" i="14"/>
  <c r="F18" i="14"/>
  <c r="F21" i="14"/>
  <c r="F9" i="14"/>
  <c r="F10" i="14"/>
  <c r="F8" i="14"/>
  <c r="F25" i="14"/>
  <c r="F26" i="14"/>
  <c r="H27" i="20" l="1"/>
  <c r="H26" i="21"/>
  <c r="G28" i="6"/>
  <c r="H25" i="21"/>
  <c r="F26" i="21"/>
  <c r="F25" i="20"/>
  <c r="G28" i="3"/>
  <c r="F23" i="19"/>
  <c r="H7" i="21"/>
  <c r="H25" i="19"/>
  <c r="H27" i="19"/>
  <c r="F27" i="19"/>
  <c r="F12" i="19"/>
  <c r="H8" i="19"/>
  <c r="F7" i="19"/>
  <c r="F9" i="19"/>
  <c r="F25" i="19"/>
  <c r="F19" i="19"/>
  <c r="F8" i="19"/>
  <c r="H9" i="19"/>
  <c r="F7" i="21"/>
  <c r="F6" i="21"/>
  <c r="H8" i="21"/>
  <c r="H6" i="21"/>
  <c r="H12" i="19"/>
  <c r="F8" i="21"/>
  <c r="F18" i="19"/>
  <c r="H18" i="19"/>
  <c r="F15" i="19"/>
  <c r="H11" i="19"/>
  <c r="F11" i="19"/>
  <c r="H15" i="19"/>
  <c r="F13" i="20"/>
  <c r="F10" i="21"/>
  <c r="H10" i="21"/>
  <c r="F11" i="21"/>
  <c r="H11" i="21"/>
  <c r="H20" i="19"/>
  <c r="E28" i="6"/>
  <c r="F16" i="20"/>
  <c r="F27" i="20"/>
  <c r="F26" i="20"/>
  <c r="H13" i="20"/>
  <c r="H26" i="20"/>
  <c r="H25" i="20"/>
  <c r="H5" i="20"/>
  <c r="F6" i="19"/>
  <c r="F26" i="19"/>
  <c r="F20" i="19"/>
  <c r="H21" i="19"/>
  <c r="H26" i="19"/>
  <c r="F17" i="20"/>
  <c r="H21" i="18"/>
  <c r="F12" i="18"/>
  <c r="F16" i="18"/>
  <c r="F18" i="18"/>
  <c r="F5" i="18"/>
  <c r="H23" i="18"/>
  <c r="H6" i="18"/>
  <c r="F20" i="18"/>
  <c r="F23" i="18"/>
  <c r="F6" i="18"/>
  <c r="H22" i="18"/>
  <c r="H15" i="18"/>
  <c r="H24" i="18"/>
  <c r="F10" i="20"/>
  <c r="F19" i="18"/>
  <c r="H12" i="18"/>
  <c r="H16" i="18"/>
  <c r="H18" i="18"/>
  <c r="H5" i="18"/>
  <c r="F22" i="18"/>
  <c r="F15" i="18"/>
  <c r="F24" i="18"/>
  <c r="H20" i="18"/>
  <c r="H14" i="18"/>
  <c r="H19" i="18"/>
  <c r="F14" i="18"/>
  <c r="F21" i="18"/>
  <c r="H21" i="21"/>
  <c r="H17" i="21"/>
  <c r="F13" i="18"/>
  <c r="H13" i="18"/>
  <c r="F8" i="20"/>
  <c r="H7" i="20"/>
  <c r="H17" i="19"/>
  <c r="F16" i="19"/>
  <c r="H16" i="21"/>
  <c r="F17" i="21"/>
  <c r="F23" i="21"/>
  <c r="H12" i="21"/>
  <c r="F16" i="21"/>
  <c r="F7" i="20"/>
  <c r="H16" i="19"/>
  <c r="H5" i="19"/>
  <c r="F17" i="19"/>
  <c r="H7" i="18"/>
  <c r="F7" i="18"/>
  <c r="F21" i="19"/>
  <c r="F10" i="18"/>
  <c r="H14" i="20"/>
  <c r="F15" i="20"/>
  <c r="H23" i="21"/>
  <c r="H11" i="20"/>
  <c r="F24" i="20"/>
  <c r="H21" i="20"/>
  <c r="H20" i="20"/>
  <c r="H16" i="20"/>
  <c r="F10" i="19"/>
  <c r="H22" i="19"/>
  <c r="H10" i="19"/>
  <c r="F22" i="19"/>
  <c r="H10" i="18"/>
  <c r="F11" i="18"/>
  <c r="H11" i="18"/>
  <c r="F9" i="18"/>
  <c r="H9" i="18"/>
  <c r="H14" i="21"/>
  <c r="F15" i="21"/>
  <c r="H15" i="20"/>
  <c r="F14" i="20"/>
  <c r="F14" i="21"/>
  <c r="F20" i="21"/>
  <c r="H15" i="21"/>
  <c r="H20" i="21"/>
  <c r="H12" i="20"/>
  <c r="F12" i="20"/>
  <c r="H13" i="19"/>
  <c r="F17" i="18"/>
  <c r="H8" i="18"/>
  <c r="F8" i="18"/>
  <c r="H17" i="18"/>
  <c r="F22" i="21"/>
  <c r="F13" i="21"/>
  <c r="F18" i="21"/>
  <c r="F22" i="20"/>
  <c r="H9" i="20"/>
  <c r="H18" i="20"/>
  <c r="H23" i="20"/>
  <c r="F14" i="19"/>
  <c r="F5" i="19"/>
  <c r="H6" i="19"/>
  <c r="F13" i="19"/>
  <c r="H14" i="19"/>
  <c r="F23" i="20"/>
  <c r="F9" i="20"/>
  <c r="F18" i="20"/>
  <c r="F19" i="20"/>
  <c r="H8" i="20"/>
  <c r="H17" i="20"/>
  <c r="H24" i="20"/>
  <c r="H10" i="20"/>
  <c r="H19" i="20"/>
  <c r="F21" i="20"/>
  <c r="F11" i="20"/>
  <c r="F20" i="20"/>
  <c r="H22" i="20"/>
  <c r="H19" i="21"/>
  <c r="H18" i="21"/>
  <c r="F19" i="21"/>
  <c r="F12" i="21"/>
  <c r="F21" i="21"/>
  <c r="H22" i="21"/>
  <c r="H13" i="21"/>
  <c r="G24" i="2"/>
  <c r="E24" i="2"/>
  <c r="F28" i="20"/>
  <c r="E28" i="5"/>
  <c r="G28" i="5"/>
  <c r="G28" i="4"/>
  <c r="H28" i="20" s="1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F5" i="20" l="1"/>
  <c r="F4" i="21"/>
  <c r="F29" i="21"/>
  <c r="H4" i="21"/>
  <c r="H29" i="21"/>
  <c r="H4" i="19"/>
  <c r="H29" i="19"/>
  <c r="F4" i="19"/>
  <c r="F29" i="19"/>
  <c r="H4" i="18"/>
  <c r="H25" i="18"/>
  <c r="F4" i="18"/>
  <c r="F25" i="18"/>
  <c r="F4" i="20"/>
  <c r="F29" i="20"/>
  <c r="H4" i="20"/>
  <c r="H29" i="20"/>
  <c r="L4" i="10"/>
  <c r="L8" i="10"/>
  <c r="L12" i="10"/>
  <c r="L16" i="10"/>
  <c r="L20" i="10"/>
  <c r="L24" i="10"/>
  <c r="L5" i="10"/>
  <c r="L9" i="10"/>
  <c r="L13" i="10"/>
  <c r="L17" i="10"/>
  <c r="L21" i="10"/>
  <c r="L25" i="10"/>
  <c r="L6" i="10"/>
  <c r="L10" i="10"/>
  <c r="L14" i="10"/>
  <c r="L18" i="10"/>
  <c r="L22" i="10"/>
  <c r="L26" i="10"/>
  <c r="L3" i="10"/>
  <c r="L7" i="10"/>
  <c r="L11" i="10"/>
  <c r="L15" i="10"/>
  <c r="L19" i="10"/>
  <c r="L23" i="10"/>
  <c r="L27" i="10"/>
  <c r="K28" i="10"/>
  <c r="L28" i="10" l="1"/>
  <c r="B27" i="22" l="1"/>
  <c r="B23" i="22"/>
  <c r="B19" i="22"/>
  <c r="B15" i="22"/>
  <c r="B11" i="22"/>
  <c r="B7" i="22"/>
  <c r="B26" i="22"/>
  <c r="B22" i="22"/>
  <c r="B18" i="22"/>
  <c r="B14" i="22"/>
  <c r="B10" i="22"/>
  <c r="B6" i="22"/>
  <c r="B29" i="22"/>
  <c r="B25" i="22"/>
  <c r="B21" i="22"/>
  <c r="B17" i="22"/>
  <c r="B13" i="22"/>
  <c r="B9" i="22"/>
  <c r="B5" i="22"/>
  <c r="B28" i="22"/>
  <c r="B24" i="22"/>
  <c r="B20" i="22"/>
  <c r="B16" i="22"/>
  <c r="B12" i="22"/>
  <c r="B8" i="22"/>
  <c r="B4" i="22"/>
  <c r="K3" i="2"/>
  <c r="D27" i="22" l="1"/>
  <c r="D23" i="22"/>
  <c r="D19" i="22"/>
  <c r="D15" i="22"/>
  <c r="D11" i="22"/>
  <c r="D7" i="22"/>
  <c r="D26" i="22"/>
  <c r="D18" i="22"/>
  <c r="D14" i="22"/>
  <c r="D10" i="22"/>
  <c r="D29" i="22"/>
  <c r="D25" i="22"/>
  <c r="D28" i="22"/>
  <c r="D24" i="22"/>
  <c r="D20" i="22"/>
  <c r="D16" i="22"/>
  <c r="D12" i="22"/>
  <c r="D8" i="22"/>
  <c r="D4" i="22"/>
  <c r="D22" i="22"/>
  <c r="D6" i="22"/>
  <c r="D21" i="22"/>
  <c r="D5" i="22"/>
  <c r="D17" i="22"/>
  <c r="D13" i="22"/>
  <c r="D9" i="22"/>
  <c r="E24" i="22"/>
  <c r="F6" i="22"/>
  <c r="H8" i="22"/>
  <c r="C23" i="22"/>
  <c r="E25" i="22"/>
  <c r="E29" i="22"/>
  <c r="G6" i="22"/>
  <c r="F9" i="22"/>
  <c r="G18" i="22"/>
  <c r="F25" i="22"/>
  <c r="H27" i="22"/>
  <c r="C5" i="22"/>
  <c r="E7" i="22"/>
  <c r="C13" i="22"/>
  <c r="E15" i="22"/>
  <c r="C21" i="22"/>
  <c r="E23" i="22"/>
  <c r="C29" i="22"/>
  <c r="G11" i="22"/>
  <c r="G15" i="22"/>
  <c r="F18" i="22"/>
  <c r="H20" i="22"/>
  <c r="F21" i="22"/>
  <c r="H23" i="22"/>
  <c r="H5" i="22"/>
  <c r="G8" i="22"/>
  <c r="F11" i="22"/>
  <c r="H13" i="22"/>
  <c r="G16" i="22"/>
  <c r="F19" i="22"/>
  <c r="H21" i="22"/>
  <c r="G24" i="22"/>
  <c r="F27" i="22"/>
  <c r="H29" i="22"/>
  <c r="C7" i="22"/>
  <c r="E9" i="22"/>
  <c r="G23" i="22"/>
  <c r="F26" i="22"/>
  <c r="E4" i="22"/>
  <c r="G10" i="22"/>
  <c r="C26" i="22"/>
  <c r="E28" i="22"/>
  <c r="G5" i="22"/>
  <c r="F8" i="22"/>
  <c r="H10" i="22"/>
  <c r="G13" i="22"/>
  <c r="F16" i="22"/>
  <c r="H18" i="22"/>
  <c r="G21" i="22"/>
  <c r="F24" i="22"/>
  <c r="H26" i="22"/>
  <c r="G29" i="22"/>
  <c r="E13" i="22"/>
  <c r="C19" i="22"/>
  <c r="E21" i="22"/>
  <c r="F13" i="22"/>
  <c r="H15" i="22"/>
  <c r="C22" i="22"/>
  <c r="C4" i="22"/>
  <c r="E6" i="22"/>
  <c r="C12" i="22"/>
  <c r="E14" i="22"/>
  <c r="C20" i="22"/>
  <c r="E22" i="22"/>
  <c r="C28" i="22"/>
  <c r="H4" i="22"/>
  <c r="H28" i="22"/>
  <c r="G7" i="22"/>
  <c r="F10" i="22"/>
  <c r="G27" i="22"/>
  <c r="F5" i="22"/>
  <c r="H7" i="22"/>
  <c r="H11" i="22"/>
  <c r="H19" i="22"/>
  <c r="G26" i="22"/>
  <c r="F29" i="22"/>
  <c r="C9" i="22"/>
  <c r="E11" i="22"/>
  <c r="C17" i="22"/>
  <c r="E19" i="22"/>
  <c r="C25" i="22"/>
  <c r="E27" i="22"/>
  <c r="E5" i="22"/>
  <c r="F14" i="22"/>
  <c r="H16" i="22"/>
  <c r="G19" i="22"/>
  <c r="C27" i="22"/>
  <c r="C14" i="22"/>
  <c r="E16" i="22"/>
  <c r="G22" i="22"/>
  <c r="G4" i="22"/>
  <c r="F7" i="22"/>
  <c r="H9" i="22"/>
  <c r="G12" i="22"/>
  <c r="F15" i="22"/>
  <c r="H17" i="22"/>
  <c r="G20" i="22"/>
  <c r="F23" i="22"/>
  <c r="H25" i="22"/>
  <c r="G28" i="22"/>
  <c r="E12" i="22"/>
  <c r="H12" i="22"/>
  <c r="F22" i="22"/>
  <c r="H24" i="22"/>
  <c r="C6" i="22"/>
  <c r="E8" i="22"/>
  <c r="C18" i="22"/>
  <c r="E20" i="22"/>
  <c r="F4" i="22"/>
  <c r="H6" i="22"/>
  <c r="G9" i="22"/>
  <c r="F12" i="22"/>
  <c r="H14" i="22"/>
  <c r="G17" i="22"/>
  <c r="F20" i="22"/>
  <c r="H22" i="22"/>
  <c r="G25" i="22"/>
  <c r="F28" i="22"/>
  <c r="C11" i="22"/>
  <c r="C15" i="22"/>
  <c r="E17" i="22"/>
  <c r="C10" i="22"/>
  <c r="G14" i="22"/>
  <c r="F17" i="22"/>
  <c r="C8" i="22"/>
  <c r="E10" i="22"/>
  <c r="C16" i="22"/>
  <c r="E18" i="22"/>
  <c r="C24" i="22"/>
  <c r="E26" i="22"/>
  <c r="K2" i="2"/>
  <c r="L3" i="2" l="1"/>
  <c r="K22" i="2" l="1"/>
  <c r="K21" i="2"/>
  <c r="K20" i="2"/>
  <c r="K19" i="2"/>
  <c r="K18" i="2"/>
  <c r="K17" i="2"/>
  <c r="K16" i="2"/>
  <c r="K15" i="2"/>
  <c r="K14" i="2"/>
  <c r="K13" i="2"/>
  <c r="K12" i="2"/>
  <c r="K11" i="2"/>
  <c r="K9" i="2"/>
  <c r="K8" i="2"/>
  <c r="K7" i="2"/>
  <c r="K6" i="2"/>
  <c r="K5" i="2"/>
  <c r="K4" i="2"/>
  <c r="K28" i="2" l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28" i="2" l="1"/>
</calcChain>
</file>

<file path=xl/sharedStrings.xml><?xml version="1.0" encoding="utf-8"?>
<sst xmlns="http://schemas.openxmlformats.org/spreadsheetml/2006/main" count="521" uniqueCount="159">
  <si>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</si>
  <si>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</si>
  <si>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</si>
  <si>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</si>
  <si>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</si>
  <si>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</si>
  <si>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</si>
  <si>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</si>
  <si>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</si>
  <si>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</si>
  <si>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</si>
  <si>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</si>
  <si>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</si>
  <si>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</si>
  <si>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</si>
  <si>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</si>
  <si>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</si>
  <si>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</si>
  <si>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</si>
  <si>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</si>
  <si>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 xml:space="preserve">tarnobrzeski </t>
  </si>
  <si>
    <t>Krosno</t>
  </si>
  <si>
    <t>Przemyśl</t>
  </si>
  <si>
    <t>Rzeszów</t>
  </si>
  <si>
    <t>Tarnobrzeg</t>
  </si>
  <si>
    <t>województwo</t>
  </si>
  <si>
    <t>wzrost/spadek do analogicznego okresu ubr.</t>
  </si>
  <si>
    <t>powiaty</t>
  </si>
  <si>
    <t>wzrost/spadek do poprzedniego  miesiąca</t>
  </si>
  <si>
    <t>---</t>
  </si>
  <si>
    <t>Oferty pracy (wolne miejsca pracy i miejsca aktywizacji zawodowej) wg powiatów</t>
  </si>
  <si>
    <t>Liczba bezrobotnych zamieszkłaych na wsi w województwie podkarpackim</t>
  </si>
  <si>
    <t>Liczba bezrobotnych w województwie podkarpackim wg powiatów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</si>
  <si>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</si>
  <si>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</si>
  <si>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</si>
  <si>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</si>
  <si>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</si>
  <si>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</si>
  <si>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</si>
  <si>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</si>
  <si>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</si>
  <si>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</si>
  <si>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</si>
  <si>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</si>
  <si>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</si>
  <si>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</si>
  <si>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</si>
  <si>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</si>
  <si>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</si>
  <si>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</si>
  <si>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</si>
  <si>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</si>
  <si>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</si>
  <si>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</si>
  <si>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</si>
  <si>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</t>
  </si>
  <si>
    <t>Powiat leski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</si>
  <si>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</si>
  <si>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</si>
  <si>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</si>
  <si>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</si>
  <si>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</si>
  <si>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</si>
  <si>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</si>
  <si>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</si>
  <si>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</si>
  <si>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</si>
  <si>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</si>
  <si>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</si>
  <si>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</si>
  <si>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m.Krosno</t>
  </si>
  <si>
    <t>Powiat m.Przemyśl</t>
  </si>
  <si>
    <t>Powiat m.Rzeszów</t>
  </si>
  <si>
    <t>Powiat m.Tarnobrzeg</t>
  </si>
  <si>
    <t>wzrost/spadek do poprzedniego miesiąca (pkt. proc.)</t>
  </si>
  <si>
    <t>wzrost/spadek do miesiąca poprzedniego</t>
  </si>
  <si>
    <t>w tym: kobiety</t>
  </si>
  <si>
    <t>Liczba bezrobotnych powyżej 12 miesięcy* - będących w szczególnej sytuacji na rynku pracy</t>
  </si>
  <si>
    <t>Bezrobotne kobiety zarejestrowane w PUP w woj. podkarpackim</t>
  </si>
  <si>
    <t>wzrost lub spadek do poprzedniego miesiąca (pkt. proc.)</t>
  </si>
  <si>
    <t>Liczba bezrobotnych do 30 roku życia - w szczególnej sytuacji na rynku pracy</t>
  </si>
  <si>
    <t>Liczba bezrobotnych powyżej 50 roku życia - w szczególnej sytuacji na rynku pracy</t>
  </si>
  <si>
    <t>Bezrobotne kobiety zarejestrowane w PUP c.d.</t>
  </si>
  <si>
    <t>Liczba bezrobotnych zamieszkłaych na wsi c.d.</t>
  </si>
  <si>
    <t>Oferty pracy subsydiowanej (subsydiowane wolne miejsca pracy i miejsca aktywizacji zawodowej) wg powiatów</t>
  </si>
  <si>
    <t>lokata</t>
  </si>
  <si>
    <t>Stopa bezrobocia rejestrowanego - wg województw</t>
  </si>
  <si>
    <t>Stopa bezrobocia rejestrowanego - wg powiatów w województwie podkarpackim</t>
  </si>
  <si>
    <t>Liczba bezrobotnych powyżej 12 miesięcy* - w szczególnej sytuacji na rynku pracy</t>
  </si>
  <si>
    <t>Oferty pracy subsydiowanej wg powiatów</t>
  </si>
  <si>
    <t>(subsydiowane wolne miejsca pracy i miejsca aktywizacji zawodowej)</t>
  </si>
  <si>
    <t>w proc.</t>
  </si>
  <si>
    <t>proc. w stos. do ogółem bezrobotnych</t>
  </si>
  <si>
    <t>Liczba bezrobotnych do 30 roku życia - tj. będących w szczególnej sytuacji na rynku pracy</t>
  </si>
  <si>
    <r>
      <t xml:space="preserve">* </t>
    </r>
    <r>
      <rPr>
        <b/>
        <sz val="11"/>
        <color theme="1"/>
        <rFont val="Arial"/>
        <family val="2"/>
        <charset val="238"/>
      </rPr>
      <t>Bezrobotni długotrwale</t>
    </r>
    <r>
      <rPr>
        <sz val="11"/>
        <color theme="1"/>
        <rFont val="Arial"/>
        <family val="2"/>
        <charset val="238"/>
      </rPr>
      <t xml:space="preserve"> - w okresie ostatnich dwóch lat. </t>
    </r>
  </si>
  <si>
    <t>Definicja zawarta w ustawie o promocji zatrudnienia i instytucjach rynku pracy.</t>
  </si>
  <si>
    <t>X</t>
  </si>
  <si>
    <t>Y</t>
  </si>
  <si>
    <t>stan na 31-12-2022</t>
  </si>
  <si>
    <t>lokata X</t>
  </si>
  <si>
    <t>lokata Y</t>
  </si>
  <si>
    <t>tarnobrzeski</t>
  </si>
  <si>
    <t>Pokdarpacie</t>
  </si>
  <si>
    <t>stan na 31-12-2021</t>
  </si>
  <si>
    <t>liczba bezrobotnych kobiet stan na 30 IX '23 r.</t>
  </si>
  <si>
    <t>liczba ofert w IX '23 r.</t>
  </si>
  <si>
    <t>Podjęcia pracy niesubsydiowanej</t>
  </si>
  <si>
    <t>Podjęcia pracy subsydiowanej</t>
  </si>
  <si>
    <t>Osoby skierowane na staż</t>
  </si>
  <si>
    <t>Suma różnic [x]</t>
  </si>
  <si>
    <t>Korelacja podjęć pracy z poziomem bezrobocia, który jest warunkowany przez zmiany w bilansie bezrobotnych [zawarte w stanie na koniec okresu]</t>
  </si>
  <si>
    <t>wzrost/spadek [Y]</t>
  </si>
  <si>
    <t>różnica</t>
  </si>
  <si>
    <t>róznica</t>
  </si>
  <si>
    <t>Spadki i wzrosty - liczba bezrobotnych wg powiatów [podkarpackie]</t>
  </si>
  <si>
    <t>Liczba bezrobotnych od najwyższej</t>
  </si>
  <si>
    <t>wzrost lub spadek do początku roku (pkt. proc.)</t>
  </si>
  <si>
    <t>wzrost/spadek do początku roku (pkt. proc.)</t>
  </si>
  <si>
    <t>wzrost/spadek</t>
  </si>
  <si>
    <t>Zmiana stanu na koniec okresu [liczba bezrobotnych]</t>
  </si>
  <si>
    <t>liczba bezrobotnych ogółem stan na 30 IX '23 r.</t>
  </si>
  <si>
    <r>
      <t>liczba bezrobotnych ogółem stan na</t>
    </r>
    <r>
      <rPr>
        <sz val="12"/>
        <color theme="1"/>
        <rFont val="Arial"/>
        <family val="2"/>
        <charset val="238"/>
      </rPr>
      <t xml:space="preserve"> 31 X '23 r.</t>
    </r>
  </si>
  <si>
    <t>liczba bezrobotnych ogółem stan na 31 X '22 r.</t>
  </si>
  <si>
    <t>liczba bezrobotnych kobiet stan na 31 X '23 r.</t>
  </si>
  <si>
    <t>liczba bezrobotnych kobiet stan na 31 X '22 r.</t>
  </si>
  <si>
    <r>
      <t xml:space="preserve">Stopa bezrobocia stan na </t>
    </r>
    <r>
      <rPr>
        <sz val="12"/>
        <color theme="1"/>
        <rFont val="Arial"/>
        <family val="2"/>
        <charset val="238"/>
      </rPr>
      <t xml:space="preserve">31 X '23 r. </t>
    </r>
    <r>
      <rPr>
        <sz val="11"/>
        <color theme="1"/>
        <rFont val="Arial"/>
        <family val="2"/>
        <charset val="238"/>
      </rPr>
      <t>(w proc.)*</t>
    </r>
  </si>
  <si>
    <r>
      <t xml:space="preserve">Stopa bezrobocia stan na </t>
    </r>
    <r>
      <rPr>
        <sz val="12"/>
        <color theme="1"/>
        <rFont val="Arial"/>
        <family val="2"/>
        <charset val="238"/>
      </rPr>
      <t xml:space="preserve">31 X '23 </t>
    </r>
    <r>
      <rPr>
        <sz val="11"/>
        <color theme="1"/>
        <rFont val="Arial"/>
        <family val="2"/>
        <charset val="238"/>
      </rPr>
      <t>r. w proc.*</t>
    </r>
  </si>
  <si>
    <t>liczba bezrobotnych zam. na wsi stan na 30 IX '23 r.</t>
  </si>
  <si>
    <r>
      <t>liczba bezrobotnych zam. na wsi stan na</t>
    </r>
    <r>
      <rPr>
        <sz val="12"/>
        <color theme="1"/>
        <rFont val="Arial"/>
        <family val="2"/>
        <charset val="238"/>
      </rPr>
      <t xml:space="preserve"> 31 X '23 r.</t>
    </r>
  </si>
  <si>
    <r>
      <t xml:space="preserve">liczba bezrobotnych zam. na wsi stan na </t>
    </r>
    <r>
      <rPr>
        <sz val="12"/>
        <color theme="1"/>
        <rFont val="Arial"/>
        <family val="2"/>
        <charset val="238"/>
      </rPr>
      <t>31 X '22 r.</t>
    </r>
  </si>
  <si>
    <t>liczba bezrobotnych pow. 12 m-cy stan na 30 IX '23 r.</t>
  </si>
  <si>
    <r>
      <t xml:space="preserve">liczba bezrobotnych pow. 12 m-cy stan na </t>
    </r>
    <r>
      <rPr>
        <sz val="12"/>
        <color theme="1"/>
        <rFont val="Arial"/>
        <family val="2"/>
        <charset val="238"/>
      </rPr>
      <t>31 X '23 r.</t>
    </r>
  </si>
  <si>
    <r>
      <t>liczba bezrobotnych pow. 12 m-cy,  stan na</t>
    </r>
    <r>
      <rPr>
        <sz val="12"/>
        <color theme="1"/>
        <rFont val="Arial"/>
        <family val="2"/>
        <charset val="238"/>
      </rPr>
      <t xml:space="preserve"> 31 X '22 r.</t>
    </r>
  </si>
  <si>
    <t>liczba bezrobotnych do 30 r. ż. stan na 30 IX '23 r.</t>
  </si>
  <si>
    <r>
      <t xml:space="preserve">liczba bezrobotnych do 30 r. ż. stan na </t>
    </r>
    <r>
      <rPr>
        <sz val="12"/>
        <color theme="1"/>
        <rFont val="Arial"/>
        <family val="2"/>
        <charset val="238"/>
      </rPr>
      <t>31 X '23 r.</t>
    </r>
  </si>
  <si>
    <r>
      <t xml:space="preserve">liczba bezrobotnych do 30 r. ż. stan na </t>
    </r>
    <r>
      <rPr>
        <sz val="12"/>
        <color theme="1"/>
        <rFont val="Arial"/>
        <family val="2"/>
        <charset val="238"/>
      </rPr>
      <t>31 X '22 r.</t>
    </r>
  </si>
  <si>
    <t>liczba bezrobotnych 50+ stan na 30 IX '23 r.</t>
  </si>
  <si>
    <r>
      <t xml:space="preserve">liczba bezrobotnych 50+ stan na </t>
    </r>
    <r>
      <rPr>
        <sz val="12"/>
        <color theme="1"/>
        <rFont val="Arial"/>
        <family val="2"/>
        <charset val="238"/>
      </rPr>
      <t>31 X '23 r.</t>
    </r>
  </si>
  <si>
    <r>
      <t xml:space="preserve">liczba bezrobotnych 50+ stan na </t>
    </r>
    <r>
      <rPr>
        <sz val="12"/>
        <color theme="1"/>
        <rFont val="Arial"/>
        <family val="2"/>
        <charset val="238"/>
      </rPr>
      <t>31 X '22 r.</t>
    </r>
  </si>
  <si>
    <t>liczba ofert w X '23 r.</t>
  </si>
  <si>
    <t>liczba ofert w X '22 r.</t>
  </si>
  <si>
    <t>podjecia pracy niesubs. I - X 2022</t>
  </si>
  <si>
    <t>podjecia pracy niesubs. I - X 2023</t>
  </si>
  <si>
    <t>praca subs. I - X 2022</t>
  </si>
  <si>
    <t>praca subs. I - X 2023</t>
  </si>
  <si>
    <t>staże I - X 2022</t>
  </si>
  <si>
    <t>staże I - X 2023</t>
  </si>
  <si>
    <t>stan na 31-10-2023</t>
  </si>
  <si>
    <t>stan na 31-10-2022</t>
  </si>
  <si>
    <t>WARMIŃSKO - MAZURSKIE</t>
  </si>
  <si>
    <t xml:space="preserve">* GUS, Bank Danych Lokalnych </t>
  </si>
  <si>
    <r>
      <t xml:space="preserve">Stopa bezrobocia stan na </t>
    </r>
    <r>
      <rPr>
        <sz val="12"/>
        <color theme="1"/>
        <rFont val="Arial"/>
        <family val="2"/>
        <charset val="238"/>
      </rPr>
      <t>31 X '22 r.</t>
    </r>
    <r>
      <rPr>
        <sz val="11"/>
        <color theme="1"/>
        <rFont val="Arial"/>
        <family val="2"/>
        <charset val="238"/>
      </rPr>
      <t xml:space="preserve"> (w proc.)*</t>
    </r>
  </si>
  <si>
    <t>Stopa bezrobocia stan na 30 IX '23 r. (w proc.)*</t>
  </si>
  <si>
    <r>
      <t xml:space="preserve">Stopa bezrobocia stan na </t>
    </r>
    <r>
      <rPr>
        <sz val="12"/>
        <color theme="1"/>
        <rFont val="Arial"/>
        <family val="2"/>
        <charset val="238"/>
      </rPr>
      <t>31 X '22 r</t>
    </r>
    <r>
      <rPr>
        <sz val="11"/>
        <color theme="1"/>
        <rFont val="Arial"/>
        <family val="2"/>
        <charset val="238"/>
      </rPr>
      <t>. w proc.*</t>
    </r>
  </si>
  <si>
    <t>Stopa bezrobocia stan na 30 IX '23 r. w proc. *</t>
  </si>
  <si>
    <t>Oferty pracy ogółem - stan na koniec m-ca (wolne miejsca pracy i miejsca aktywizacji zawodowej) wg powiatów</t>
  </si>
  <si>
    <t>Oferty pracy ogółem - stan na koniec m-ca</t>
  </si>
  <si>
    <t>(wolne miejsca pracy i miejsca aktywizacji zawodowej) wg powiatów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</si>
</sst>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name val="Times"/>
      <charset val="238"/>
    </font>
    <font>
      <b/>
      <sz val="11"/>
      <name val="Times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5E4E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>
      <alignment horizontal="right" vertical="center"/>
    </xf>
    <xf numFmtId="0" fontId="10" fillId="0" borderId="0" applyNumberFormat="0" applyFill="0" applyBorder="0" applyAlignment="0" applyProtection="0"/>
    <xf numFmtId="0" fontId="1" fillId="0" borderId="0">
      <alignment horizontal="center" vertical="center"/>
    </xf>
    <xf numFmtId="0" fontId="1" fillId="0" borderId="0">
      <alignment horizontal="left" vertical="center"/>
    </xf>
  </cellStyleXfs>
  <cellXfs count="192">
    <xf numFmtId="0" fontId="0" fillId="0" borderId="0" xfId="0"/>
    <xf numFmtId="0" fontId="2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/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164" fontId="2" fillId="2" borderId="0" xfId="0" applyNumberFormat="1" applyFont="1" applyFill="1"/>
    <xf numFmtId="0" fontId="2" fillId="2" borderId="1" xfId="0" quotePrefix="1" applyFont="1" applyFill="1" applyBorder="1" applyAlignment="1">
      <alignment horizontal="center"/>
    </xf>
    <xf numFmtId="164" fontId="2" fillId="2" borderId="1" xfId="0" quotePrefix="1" applyNumberFormat="1" applyFont="1" applyFill="1" applyBorder="1" applyAlignment="1">
      <alignment horizontal="center" vertical="center"/>
    </xf>
    <xf numFmtId="1" fontId="7" fillId="0" borderId="3" xfId="1" applyNumberFormat="1" applyFont="1" applyBorder="1" applyAlignment="1">
      <alignment horizontal="center" vertical="center" wrapText="1"/>
    </xf>
    <xf numFmtId="1" fontId="7" fillId="0" borderId="4" xfId="1" applyNumberFormat="1" applyFont="1" applyBorder="1" applyAlignment="1">
      <alignment horizontal="center" vertical="center" wrapText="1"/>
    </xf>
    <xf numFmtId="1" fontId="7" fillId="0" borderId="5" xfId="1" applyNumberFormat="1" applyFont="1" applyBorder="1" applyAlignment="1">
      <alignment horizontal="center" vertical="center" wrapText="1"/>
    </xf>
    <xf numFmtId="1" fontId="7" fillId="0" borderId="6" xfId="1" applyNumberFormat="1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3" fontId="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165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1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164" fontId="8" fillId="0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NumberFormat="1" applyFont="1" applyFill="1" applyBorder="1"/>
    <xf numFmtId="165" fontId="6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8" fillId="2" borderId="1" xfId="0" applyFont="1" applyFill="1" applyBorder="1"/>
    <xf numFmtId="0" fontId="6" fillId="2" borderId="2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top"/>
    </xf>
    <xf numFmtId="164" fontId="6" fillId="0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0" fontId="11" fillId="2" borderId="0" xfId="2" applyFont="1" applyFill="1"/>
    <xf numFmtId="1" fontId="2" fillId="2" borderId="0" xfId="0" applyNumberFormat="1" applyFont="1" applyFill="1" applyAlignment="1">
      <alignment horizontal="center"/>
    </xf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3" fontId="2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2" fillId="2" borderId="0" xfId="0" applyFont="1" applyFill="1"/>
    <xf numFmtId="0" fontId="9" fillId="2" borderId="1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" fontId="9" fillId="2" borderId="12" xfId="0" applyNumberFormat="1" applyFont="1" applyFill="1" applyBorder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1" fontId="9" fillId="2" borderId="10" xfId="0" applyNumberFormat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" fontId="9" fillId="2" borderId="14" xfId="0" applyNumberFormat="1" applyFont="1" applyFill="1" applyBorder="1" applyAlignment="1">
      <alignment horizontal="center" vertical="center"/>
    </xf>
    <xf numFmtId="1" fontId="9" fillId="2" borderId="11" xfId="1" applyNumberFormat="1" applyFont="1" applyFill="1" applyBorder="1" applyAlignment="1">
      <alignment horizontal="center" vertical="center" wrapText="1"/>
    </xf>
    <xf numFmtId="1" fontId="9" fillId="2" borderId="13" xfId="1" applyNumberFormat="1" applyFont="1" applyFill="1" applyBorder="1" applyAlignment="1">
      <alignment horizontal="center" vertical="center" wrapText="1"/>
    </xf>
    <xf numFmtId="1" fontId="13" fillId="2" borderId="13" xfId="1" applyNumberFormat="1" applyFont="1" applyFill="1" applyBorder="1" applyAlignment="1">
      <alignment horizontal="center" vertical="center" wrapText="1"/>
    </xf>
    <xf numFmtId="1" fontId="9" fillId="2" borderId="28" xfId="0" applyNumberFormat="1" applyFont="1" applyFill="1" applyBorder="1" applyAlignment="1">
      <alignment horizontal="center" vertical="center"/>
    </xf>
    <xf numFmtId="1" fontId="9" fillId="2" borderId="29" xfId="0" applyNumberFormat="1" applyFont="1" applyFill="1" applyBorder="1" applyAlignment="1">
      <alignment horizontal="center" vertical="center"/>
    </xf>
    <xf numFmtId="1" fontId="9" fillId="2" borderId="11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1" fontId="9" fillId="2" borderId="13" xfId="0" applyNumberFormat="1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1" fontId="9" fillId="2" borderId="37" xfId="1" applyNumberFormat="1" applyFont="1" applyFill="1" applyBorder="1" applyAlignment="1">
      <alignment horizontal="center" vertical="center" wrapText="1"/>
    </xf>
    <xf numFmtId="1" fontId="13" fillId="2" borderId="37" xfId="1" applyNumberFormat="1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/>
    </xf>
    <xf numFmtId="1" fontId="9" fillId="2" borderId="15" xfId="1" applyNumberFormat="1" applyFont="1" applyFill="1" applyBorder="1" applyAlignment="1">
      <alignment horizontal="center" vertical="center" wrapText="1"/>
    </xf>
    <xf numFmtId="1" fontId="13" fillId="2" borderId="15" xfId="1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1" fontId="9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Border="1"/>
    <xf numFmtId="0" fontId="9" fillId="2" borderId="28" xfId="4" quotePrefix="1" applyFont="1" applyFill="1" applyBorder="1" applyAlignment="1">
      <alignment horizontal="left" vertical="center" wrapText="1"/>
    </xf>
    <xf numFmtId="0" fontId="9" fillId="2" borderId="29" xfId="4" quotePrefix="1" applyFont="1" applyFill="1" applyBorder="1" applyAlignment="1">
      <alignment horizontal="left" vertical="center" wrapText="1"/>
    </xf>
    <xf numFmtId="0" fontId="9" fillId="2" borderId="30" xfId="4" quotePrefix="1" applyFont="1" applyFill="1" applyBorder="1" applyAlignment="1">
      <alignment horizontal="left" vertical="center" wrapText="1"/>
    </xf>
    <xf numFmtId="0" fontId="13" fillId="2" borderId="29" xfId="4" quotePrefix="1" applyFont="1" applyFill="1" applyBorder="1" applyAlignment="1">
      <alignment horizontal="left" vertical="center" wrapText="1"/>
    </xf>
    <xf numFmtId="0" fontId="13" fillId="2" borderId="30" xfId="4" quotePrefix="1" applyFont="1" applyFill="1" applyBorder="1" applyAlignment="1">
      <alignment horizontal="left" vertical="center" wrapText="1"/>
    </xf>
    <xf numFmtId="1" fontId="9" fillId="2" borderId="30" xfId="0" applyNumberFormat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center"/>
    </xf>
    <xf numFmtId="0" fontId="9" fillId="2" borderId="31" xfId="0" applyFont="1" applyFill="1" applyBorder="1"/>
    <xf numFmtId="0" fontId="9" fillId="2" borderId="26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1" fontId="9" fillId="2" borderId="20" xfId="0" applyNumberFormat="1" applyFont="1" applyFill="1" applyBorder="1" applyAlignment="1">
      <alignment horizontal="center" vertical="center"/>
    </xf>
    <xf numFmtId="1" fontId="9" fillId="2" borderId="21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13" fillId="2" borderId="27" xfId="3" quotePrefix="1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wrapText="1"/>
    </xf>
    <xf numFmtId="0" fontId="9" fillId="2" borderId="0" xfId="0" applyFont="1" applyFill="1" applyBorder="1"/>
    <xf numFmtId="0" fontId="12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/>
    <xf numFmtId="0" fontId="9" fillId="2" borderId="0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2" fontId="9" fillId="7" borderId="19" xfId="0" applyNumberFormat="1" applyFont="1" applyFill="1" applyBorder="1" applyAlignment="1">
      <alignment horizontal="center" vertical="center" wrapText="1"/>
    </xf>
    <xf numFmtId="1" fontId="9" fillId="2" borderId="18" xfId="0" applyNumberFormat="1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6" borderId="38" xfId="0" applyFont="1" applyFill="1" applyBorder="1" applyAlignment="1">
      <alignment horizontal="center" vertical="center" wrapText="1"/>
    </xf>
    <xf numFmtId="1" fontId="9" fillId="2" borderId="32" xfId="1" applyNumberFormat="1" applyFont="1" applyFill="1" applyBorder="1" applyAlignment="1">
      <alignment horizontal="center" vertical="center" wrapText="1"/>
    </xf>
    <xf numFmtId="1" fontId="9" fillId="2" borderId="33" xfId="1" applyNumberFormat="1" applyFont="1" applyFill="1" applyBorder="1" applyAlignment="1">
      <alignment horizontal="center" vertical="center" wrapText="1"/>
    </xf>
    <xf numFmtId="1" fontId="9" fillId="2" borderId="35" xfId="1" applyNumberFormat="1" applyFont="1" applyFill="1" applyBorder="1" applyAlignment="1">
      <alignment horizontal="center" vertical="center" wrapText="1"/>
    </xf>
    <xf numFmtId="1" fontId="13" fillId="2" borderId="33" xfId="1" applyNumberFormat="1" applyFont="1" applyFill="1" applyBorder="1" applyAlignment="1">
      <alignment horizontal="center" vertical="center" wrapText="1"/>
    </xf>
    <xf numFmtId="1" fontId="13" fillId="2" borderId="35" xfId="1" applyNumberFormat="1" applyFont="1" applyFill="1" applyBorder="1" applyAlignment="1">
      <alignment horizontal="center" vertical="center" wrapText="1"/>
    </xf>
    <xf numFmtId="2" fontId="9" fillId="7" borderId="38" xfId="0" applyNumberFormat="1" applyFont="1" applyFill="1" applyBorder="1" applyAlignment="1">
      <alignment horizontal="center" vertical="center" wrapText="1"/>
    </xf>
    <xf numFmtId="1" fontId="9" fillId="2" borderId="32" xfId="0" applyNumberFormat="1" applyFont="1" applyFill="1" applyBorder="1" applyAlignment="1">
      <alignment horizontal="center" vertical="center"/>
    </xf>
    <xf numFmtId="1" fontId="9" fillId="2" borderId="33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top"/>
    </xf>
    <xf numFmtId="0" fontId="16" fillId="2" borderId="0" xfId="0" applyFont="1" applyFill="1"/>
    <xf numFmtId="0" fontId="9" fillId="2" borderId="38" xfId="0" applyFont="1" applyFill="1" applyBorder="1" applyAlignment="1">
      <alignment horizontal="center" vertical="center" wrapText="1"/>
    </xf>
    <xf numFmtId="1" fontId="9" fillId="2" borderId="35" xfId="0" applyNumberFormat="1" applyFont="1" applyFill="1" applyBorder="1" applyAlignment="1">
      <alignment horizontal="center" vertical="center"/>
    </xf>
    <xf numFmtId="1" fontId="9" fillId="2" borderId="36" xfId="0" applyNumberFormat="1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 wrapText="1"/>
    </xf>
    <xf numFmtId="1" fontId="9" fillId="2" borderId="41" xfId="0" applyNumberFormat="1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1" fontId="12" fillId="5" borderId="1" xfId="0" applyNumberFormat="1" applyFont="1" applyFill="1" applyBorder="1" applyAlignment="1">
      <alignment horizontal="center" vertical="center"/>
    </xf>
    <xf numFmtId="3" fontId="2" fillId="8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0" fontId="2" fillId="2" borderId="0" xfId="0" quotePrefix="1" applyFont="1" applyFill="1" applyAlignment="1">
      <alignment horizontal="left" vertical="center"/>
    </xf>
    <xf numFmtId="0" fontId="17" fillId="0" borderId="1" xfId="0" applyFont="1" applyBorder="1"/>
    <xf numFmtId="1" fontId="17" fillId="0" borderId="1" xfId="0" applyNumberFormat="1" applyFont="1" applyBorder="1"/>
    <xf numFmtId="0" fontId="17" fillId="0" borderId="1" xfId="0" applyFont="1" applyBorder="1" applyAlignment="1">
      <alignment horizontal="left"/>
    </xf>
    <xf numFmtId="0" fontId="18" fillId="0" borderId="1" xfId="0" applyFont="1" applyBorder="1"/>
    <xf numFmtId="15" fontId="2" fillId="3" borderId="1" xfId="0" applyNumberFormat="1" applyFont="1" applyFill="1" applyBorder="1" applyAlignment="1">
      <alignment horizontal="center" vertical="center" wrapText="1"/>
    </xf>
  </cellXfs>
  <cellStyles count="5">
    <cellStyle name="Hiperłącze" xfId="2" builtinId="8"/>
    <cellStyle name="Normalny" xfId="0" builtinId="0"/>
    <cellStyle name="S4" xfId="3" xr:uid="{124FFDC3-3E86-4499-8194-8F114FEE6CA4}"/>
    <cellStyle name="S6" xfId="4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F5E4E3"/>
      <color rgb="FFFABF8F"/>
      <color rgb="FFFDE2CB"/>
      <color rgb="FFC49F00"/>
      <color rgb="FFFFCC00"/>
      <color rgb="FFCCFFFF"/>
      <color rgb="FFFFF2B3"/>
      <color rgb="FF0000FF"/>
      <color rgb="FFFFEE9B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100" b="0">
                <a:latin typeface="Arial" panose="020B0604020202020204" pitchFamily="34" charset="0"/>
                <a:cs typeface="Arial" panose="020B0604020202020204" pitchFamily="34" charset="0"/>
              </a:rPr>
              <a:t>Liczba bezrobotnych wg powiatów</a:t>
            </a:r>
            <a:r>
              <a:rPr lang="pl-PL" sz="1100" b="0">
                <a:latin typeface="Arial" panose="020B0604020202020204" pitchFamily="34" charset="0"/>
                <a:cs typeface="Arial" panose="020B0604020202020204" pitchFamily="34" charset="0"/>
              </a:rPr>
              <a:t> [podkarpackie]</a:t>
            </a:r>
            <a:endParaRPr lang="en-US" sz="11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9993041895196437"/>
          <c:y val="1.426755913575096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8.0408578765934824E-2"/>
          <c:w val="0.74633420974998044"/>
          <c:h val="0.863538220391920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'1sort'!$B$1</c:f>
              <c:strCache>
                <c:ptCount val="1"/>
                <c:pt idx="0">
                  <c:v>Liczba bezrobotnych w województwie podkarpackim wg powiatów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599-4D79-AB39-F167CD5FD6A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599-4D79-AB39-F167CD5FD6A6}"/>
              </c:ext>
            </c:extLst>
          </c:dPt>
          <c:dLbls>
            <c:dLbl>
              <c:idx val="13"/>
              <c:layout>
                <c:manualLayout>
                  <c:x val="9.6039205303000803E-4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99-4D79-AB39-F167CD5FD6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leski</c:v>
                </c:pt>
                <c:pt idx="6">
                  <c:v>lubaczowski</c:v>
                </c:pt>
                <c:pt idx="7">
                  <c:v>stalowowolski</c:v>
                </c:pt>
                <c:pt idx="8">
                  <c:v>krośnieński</c:v>
                </c:pt>
                <c:pt idx="9">
                  <c:v>Przemyśl</c:v>
                </c:pt>
                <c:pt idx="10">
                  <c:v>łańcucki</c:v>
                </c:pt>
                <c:pt idx="11">
                  <c:v>dębicki</c:v>
                </c:pt>
                <c:pt idx="12">
                  <c:v>ropczycko-sędziszowski</c:v>
                </c:pt>
                <c:pt idx="13">
                  <c:v>sanocki</c:v>
                </c:pt>
                <c:pt idx="14">
                  <c:v>przemyski</c:v>
                </c:pt>
                <c:pt idx="15">
                  <c:v>leżajski</c:v>
                </c:pt>
                <c:pt idx="16">
                  <c:v>mielecki</c:v>
                </c:pt>
                <c:pt idx="17">
                  <c:v>strzyżowski</c:v>
                </c:pt>
                <c:pt idx="18">
                  <c:v>niżański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'1sort'!$D$4:$D$28</c:f>
              <c:numCache>
                <c:formatCode>#,##0</c:formatCode>
                <c:ptCount val="25"/>
                <c:pt idx="0" formatCode="General">
                  <c:v>765</c:v>
                </c:pt>
                <c:pt idx="1">
                  <c:v>987</c:v>
                </c:pt>
                <c:pt idx="2">
                  <c:v>1065</c:v>
                </c:pt>
                <c:pt idx="3">
                  <c:v>1251</c:v>
                </c:pt>
                <c:pt idx="4">
                  <c:v>1464</c:v>
                </c:pt>
                <c:pt idx="5">
                  <c:v>1561</c:v>
                </c:pt>
                <c:pt idx="6">
                  <c:v>1663</c:v>
                </c:pt>
                <c:pt idx="7">
                  <c:v>1898</c:v>
                </c:pt>
                <c:pt idx="8">
                  <c:v>2081</c:v>
                </c:pt>
                <c:pt idx="9">
                  <c:v>2298</c:v>
                </c:pt>
                <c:pt idx="10">
                  <c:v>2364</c:v>
                </c:pt>
                <c:pt idx="11">
                  <c:v>2368</c:v>
                </c:pt>
                <c:pt idx="12">
                  <c:v>2537</c:v>
                </c:pt>
                <c:pt idx="13">
                  <c:v>2680</c:v>
                </c:pt>
                <c:pt idx="14">
                  <c:v>2823</c:v>
                </c:pt>
                <c:pt idx="15">
                  <c:v>2921</c:v>
                </c:pt>
                <c:pt idx="16">
                  <c:v>2921</c:v>
                </c:pt>
                <c:pt idx="17">
                  <c:v>2938</c:v>
                </c:pt>
                <c:pt idx="18">
                  <c:v>2943</c:v>
                </c:pt>
                <c:pt idx="19">
                  <c:v>3264</c:v>
                </c:pt>
                <c:pt idx="20">
                  <c:v>3645</c:v>
                </c:pt>
                <c:pt idx="21">
                  <c:v>4157</c:v>
                </c:pt>
                <c:pt idx="22">
                  <c:v>4533</c:v>
                </c:pt>
                <c:pt idx="23">
                  <c:v>4830</c:v>
                </c:pt>
                <c:pt idx="24">
                  <c:v>5011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99-4D79-AB39-F167CD5FD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9111424"/>
        <c:axId val="139315072"/>
      </c:barChart>
      <c:catAx>
        <c:axId val="139111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315072"/>
        <c:crosses val="autoZero"/>
        <c:auto val="1"/>
        <c:lblAlgn val="ctr"/>
        <c:lblOffset val="100"/>
        <c:noMultiLvlLbl val="0"/>
      </c:catAx>
      <c:valAx>
        <c:axId val="13931507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11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(wolne miejsca pracy i miejsca aktywizacji zawodowej) wg powiatów</a:t>
            </a:r>
          </a:p>
        </c:rich>
      </c:tx>
      <c:layout>
        <c:manualLayout>
          <c:xMode val="edge"/>
          <c:yMode val="edge"/>
          <c:x val="0.21857800421632848"/>
          <c:y val="3.17436953493958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'9sort'!$B$1</c:f>
              <c:strCache>
                <c:ptCount val="1"/>
                <c:pt idx="0">
                  <c:v>Oferty pracy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4C5-4D00-A09D-0401A1EB00D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4C5-4D00-A09D-0401A1EB00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'9sort'!$C$4:$C$28</c:f>
              <c:strCache>
                <c:ptCount val="25"/>
                <c:pt idx="0">
                  <c:v>bieszczadzki</c:v>
                </c:pt>
                <c:pt idx="1">
                  <c:v>leski</c:v>
                </c:pt>
                <c:pt idx="2">
                  <c:v>przemyski</c:v>
                </c:pt>
                <c:pt idx="3">
                  <c:v>łańcucki</c:v>
                </c:pt>
                <c:pt idx="4">
                  <c:v>brzozowski</c:v>
                </c:pt>
                <c:pt idx="5">
                  <c:v>Krosno</c:v>
                </c:pt>
                <c:pt idx="6">
                  <c:v>leżajski</c:v>
                </c:pt>
                <c:pt idx="7">
                  <c:v>lubaczowski</c:v>
                </c:pt>
                <c:pt idx="8">
                  <c:v>sanocki</c:v>
                </c:pt>
                <c:pt idx="9">
                  <c:v>kolbuszowski</c:v>
                </c:pt>
                <c:pt idx="10">
                  <c:v>krośnieński</c:v>
                </c:pt>
                <c:pt idx="11">
                  <c:v>niżański</c:v>
                </c:pt>
                <c:pt idx="12">
                  <c:v>Przemyśl</c:v>
                </c:pt>
                <c:pt idx="13">
                  <c:v>Tarnobrzeg</c:v>
                </c:pt>
                <c:pt idx="14">
                  <c:v>stalowowolski</c:v>
                </c:pt>
                <c:pt idx="15">
                  <c:v>tarnobrzeski </c:v>
                </c:pt>
                <c:pt idx="16">
                  <c:v>strzyżowski</c:v>
                </c:pt>
                <c:pt idx="17">
                  <c:v>rzeszowski</c:v>
                </c:pt>
                <c:pt idx="18">
                  <c:v>ropczycko-sędziszowski</c:v>
                </c:pt>
                <c:pt idx="19">
                  <c:v>przeworski</c:v>
                </c:pt>
                <c:pt idx="20">
                  <c:v>jasielski</c:v>
                </c:pt>
                <c:pt idx="21">
                  <c:v>jarosławski</c:v>
                </c:pt>
                <c:pt idx="22">
                  <c:v>dębicki</c:v>
                </c:pt>
                <c:pt idx="23">
                  <c:v>mielecki</c:v>
                </c:pt>
                <c:pt idx="24">
                  <c:v>Rzeszów</c:v>
                </c:pt>
              </c:strCache>
            </c:strRef>
          </c:cat>
          <c:val>
            <c:numRef>
              <c:f>'9sort'!$D$4:$D$28</c:f>
              <c:numCache>
                <c:formatCode>#,##0</c:formatCode>
                <c:ptCount val="25"/>
                <c:pt idx="0" formatCode="General">
                  <c:v>15</c:v>
                </c:pt>
                <c:pt idx="1">
                  <c:v>18</c:v>
                </c:pt>
                <c:pt idx="2">
                  <c:v>28</c:v>
                </c:pt>
                <c:pt idx="3">
                  <c:v>36</c:v>
                </c:pt>
                <c:pt idx="4">
                  <c:v>40</c:v>
                </c:pt>
                <c:pt idx="5">
                  <c:v>52</c:v>
                </c:pt>
                <c:pt idx="6">
                  <c:v>62</c:v>
                </c:pt>
                <c:pt idx="7">
                  <c:v>65</c:v>
                </c:pt>
                <c:pt idx="8">
                  <c:v>69</c:v>
                </c:pt>
                <c:pt idx="9">
                  <c:v>71</c:v>
                </c:pt>
                <c:pt idx="10">
                  <c:v>76</c:v>
                </c:pt>
                <c:pt idx="11">
                  <c:v>80</c:v>
                </c:pt>
                <c:pt idx="12">
                  <c:v>82</c:v>
                </c:pt>
                <c:pt idx="13">
                  <c:v>86</c:v>
                </c:pt>
                <c:pt idx="14">
                  <c:v>102</c:v>
                </c:pt>
                <c:pt idx="15">
                  <c:v>103</c:v>
                </c:pt>
                <c:pt idx="16">
                  <c:v>112</c:v>
                </c:pt>
                <c:pt idx="17">
                  <c:v>154</c:v>
                </c:pt>
                <c:pt idx="18">
                  <c:v>188</c:v>
                </c:pt>
                <c:pt idx="19">
                  <c:v>228</c:v>
                </c:pt>
                <c:pt idx="20">
                  <c:v>232</c:v>
                </c:pt>
                <c:pt idx="21">
                  <c:v>322</c:v>
                </c:pt>
                <c:pt idx="22">
                  <c:v>342</c:v>
                </c:pt>
                <c:pt idx="23">
                  <c:v>389</c:v>
                </c:pt>
                <c:pt idx="24">
                  <c:v>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5-4D00-A09D-0401A1EB0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157440"/>
        <c:axId val="138183808"/>
      </c:barChart>
      <c:catAx>
        <c:axId val="1381574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83808"/>
        <c:crosses val="autoZero"/>
        <c:auto val="1"/>
        <c:lblAlgn val="ctr"/>
        <c:lblOffset val="100"/>
        <c:noMultiLvlLbl val="0"/>
      </c:catAx>
      <c:valAx>
        <c:axId val="13818380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57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subsydiowanej (subsydiowane wolne miejsca pracy i miejsca aktywizacji zawodowej) wg powiatów</a:t>
            </a:r>
          </a:p>
        </c:rich>
      </c:tx>
      <c:layout>
        <c:manualLayout>
          <c:xMode val="edge"/>
          <c:yMode val="edge"/>
          <c:x val="0.19857511688579463"/>
          <c:y val="2.10510903332122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'10sort'!$B$1</c:f>
              <c:strCache>
                <c:ptCount val="1"/>
                <c:pt idx="0">
                  <c:v>Oferty pracy subsydiowanej (subsydiowane 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843-47F9-BA64-A416F5B1819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843-47F9-BA64-A416F5B181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'10sort'!$C$4:$C$28</c:f>
              <c:strCache>
                <c:ptCount val="25"/>
                <c:pt idx="0">
                  <c:v>leski</c:v>
                </c:pt>
                <c:pt idx="1">
                  <c:v>bieszczadzki</c:v>
                </c:pt>
                <c:pt idx="2">
                  <c:v>łańcucki</c:v>
                </c:pt>
                <c:pt idx="3">
                  <c:v>leżajski</c:v>
                </c:pt>
                <c:pt idx="4">
                  <c:v>Tarnobrzeg</c:v>
                </c:pt>
                <c:pt idx="5">
                  <c:v>stalowowolski</c:v>
                </c:pt>
                <c:pt idx="6">
                  <c:v>krośnieński</c:v>
                </c:pt>
                <c:pt idx="7">
                  <c:v>mielecki</c:v>
                </c:pt>
                <c:pt idx="8">
                  <c:v>rzeszowski</c:v>
                </c:pt>
                <c:pt idx="9">
                  <c:v>przemyski</c:v>
                </c:pt>
                <c:pt idx="10">
                  <c:v>Krosno</c:v>
                </c:pt>
                <c:pt idx="11">
                  <c:v>Przemyśl</c:v>
                </c:pt>
                <c:pt idx="12">
                  <c:v>tarnobrzeski </c:v>
                </c:pt>
                <c:pt idx="13">
                  <c:v>brzozowski</c:v>
                </c:pt>
                <c:pt idx="14">
                  <c:v>kolbuszowski</c:v>
                </c:pt>
                <c:pt idx="15">
                  <c:v>niżański</c:v>
                </c:pt>
                <c:pt idx="16">
                  <c:v>lubaczowski</c:v>
                </c:pt>
                <c:pt idx="17">
                  <c:v>dębicki</c:v>
                </c:pt>
                <c:pt idx="18">
                  <c:v>jasielski</c:v>
                </c:pt>
                <c:pt idx="19">
                  <c:v>Rzeszów</c:v>
                </c:pt>
                <c:pt idx="20">
                  <c:v>sanocki</c:v>
                </c:pt>
                <c:pt idx="21">
                  <c:v>ropczycko-sędziszowski</c:v>
                </c:pt>
                <c:pt idx="22">
                  <c:v>jarosławski</c:v>
                </c:pt>
                <c:pt idx="23">
                  <c:v>strzyżowski</c:v>
                </c:pt>
                <c:pt idx="24">
                  <c:v>przeworski</c:v>
                </c:pt>
              </c:strCache>
            </c:strRef>
          </c:cat>
          <c:val>
            <c:numRef>
              <c:f>'10sort'!$D$4:$D$28</c:f>
              <c:numCache>
                <c:formatCode>#,##0</c:formatCode>
                <c:ptCount val="25"/>
                <c:pt idx="0" formatCode="General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13</c:v>
                </c:pt>
                <c:pt idx="5">
                  <c:v>17</c:v>
                </c:pt>
                <c:pt idx="6">
                  <c:v>18</c:v>
                </c:pt>
                <c:pt idx="7">
                  <c:v>18</c:v>
                </c:pt>
                <c:pt idx="8">
                  <c:v>19</c:v>
                </c:pt>
                <c:pt idx="9">
                  <c:v>22</c:v>
                </c:pt>
                <c:pt idx="10">
                  <c:v>28</c:v>
                </c:pt>
                <c:pt idx="11">
                  <c:v>28</c:v>
                </c:pt>
                <c:pt idx="12">
                  <c:v>31</c:v>
                </c:pt>
                <c:pt idx="13">
                  <c:v>35</c:v>
                </c:pt>
                <c:pt idx="14">
                  <c:v>43</c:v>
                </c:pt>
                <c:pt idx="15">
                  <c:v>44</c:v>
                </c:pt>
                <c:pt idx="16">
                  <c:v>45</c:v>
                </c:pt>
                <c:pt idx="17">
                  <c:v>46</c:v>
                </c:pt>
                <c:pt idx="18">
                  <c:v>48</c:v>
                </c:pt>
                <c:pt idx="19">
                  <c:v>50</c:v>
                </c:pt>
                <c:pt idx="20">
                  <c:v>57</c:v>
                </c:pt>
                <c:pt idx="21">
                  <c:v>64</c:v>
                </c:pt>
                <c:pt idx="22">
                  <c:v>67</c:v>
                </c:pt>
                <c:pt idx="23">
                  <c:v>71</c:v>
                </c:pt>
                <c:pt idx="24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43-47F9-BA64-A416F5B18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ogółem według stanu</a:t>
            </a:r>
            <a:r>
              <a:rPr lang="pl-PL" sz="800" b="0" baseline="0">
                <a:latin typeface="Arial" panose="020B0604020202020204" pitchFamily="34" charset="0"/>
                <a:cs typeface="Arial" panose="020B0604020202020204" pitchFamily="34" charset="0"/>
              </a:rPr>
              <a:t> na koniec miesiąca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(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olne miejsca pracy</a:t>
            </a:r>
            <a:endParaRPr lang="pl-PL" sz="800" b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i miejsca aktywizacji zawodowej) wg powiatów</a:t>
            </a:r>
          </a:p>
        </c:rich>
      </c:tx>
      <c:layout>
        <c:manualLayout>
          <c:xMode val="edge"/>
          <c:yMode val="edge"/>
          <c:x val="0.2104416159680096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'11sort'!$B$1</c:f>
              <c:strCache>
                <c:ptCount val="1"/>
                <c:pt idx="0">
                  <c:v>Oferty pracy ogółem - stan na koniec m-ca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379-4153-AE4E-564F7750153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379-4153-AE4E-564F775015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'11sort'!$C$4:$C$28</c:f>
              <c:strCache>
                <c:ptCount val="25"/>
                <c:pt idx="0">
                  <c:v>brzozowski</c:v>
                </c:pt>
                <c:pt idx="1">
                  <c:v>przemyski</c:v>
                </c:pt>
                <c:pt idx="2">
                  <c:v>leski</c:v>
                </c:pt>
                <c:pt idx="3">
                  <c:v>sanocki</c:v>
                </c:pt>
                <c:pt idx="4">
                  <c:v>Krosno</c:v>
                </c:pt>
                <c:pt idx="5">
                  <c:v>lubaczowski</c:v>
                </c:pt>
                <c:pt idx="6">
                  <c:v>łańcucki</c:v>
                </c:pt>
                <c:pt idx="7">
                  <c:v>bieszczadzki</c:v>
                </c:pt>
                <c:pt idx="8">
                  <c:v>strzyżowski</c:v>
                </c:pt>
                <c:pt idx="9">
                  <c:v>Przemyśl</c:v>
                </c:pt>
                <c:pt idx="10">
                  <c:v>kolbuszowski</c:v>
                </c:pt>
                <c:pt idx="11">
                  <c:v>krośnieński</c:v>
                </c:pt>
                <c:pt idx="12">
                  <c:v>leżajski</c:v>
                </c:pt>
                <c:pt idx="13">
                  <c:v>stalowowolski</c:v>
                </c:pt>
                <c:pt idx="14">
                  <c:v>Tarnobrzeg</c:v>
                </c:pt>
                <c:pt idx="15">
                  <c:v>niżański</c:v>
                </c:pt>
                <c:pt idx="16">
                  <c:v>tarnobrzeski </c:v>
                </c:pt>
                <c:pt idx="17">
                  <c:v>jarosławski</c:v>
                </c:pt>
                <c:pt idx="18">
                  <c:v>rzeszowski</c:v>
                </c:pt>
                <c:pt idx="19">
                  <c:v>ropczycko-sędziszowski</c:v>
                </c:pt>
                <c:pt idx="20">
                  <c:v>dębicki</c:v>
                </c:pt>
                <c:pt idx="21">
                  <c:v>jasielski</c:v>
                </c:pt>
                <c:pt idx="22">
                  <c:v>przeworski</c:v>
                </c:pt>
                <c:pt idx="23">
                  <c:v>mielecki</c:v>
                </c:pt>
                <c:pt idx="24">
                  <c:v>Rzeszów</c:v>
                </c:pt>
              </c:strCache>
            </c:strRef>
          </c:cat>
          <c:val>
            <c:numRef>
              <c:f>'11sort'!$D$4:$D$28</c:f>
              <c:numCache>
                <c:formatCode>#,##0</c:formatCode>
                <c:ptCount val="25"/>
                <c:pt idx="0" formatCode="General">
                  <c:v>5</c:v>
                </c:pt>
                <c:pt idx="1">
                  <c:v>6</c:v>
                </c:pt>
                <c:pt idx="2">
                  <c:v>14</c:v>
                </c:pt>
                <c:pt idx="3">
                  <c:v>21</c:v>
                </c:pt>
                <c:pt idx="4">
                  <c:v>24</c:v>
                </c:pt>
                <c:pt idx="5">
                  <c:v>32</c:v>
                </c:pt>
                <c:pt idx="6">
                  <c:v>32</c:v>
                </c:pt>
                <c:pt idx="7">
                  <c:v>36</c:v>
                </c:pt>
                <c:pt idx="8">
                  <c:v>43</c:v>
                </c:pt>
                <c:pt idx="9">
                  <c:v>47</c:v>
                </c:pt>
                <c:pt idx="10">
                  <c:v>52</c:v>
                </c:pt>
                <c:pt idx="11">
                  <c:v>61</c:v>
                </c:pt>
                <c:pt idx="12">
                  <c:v>66</c:v>
                </c:pt>
                <c:pt idx="13">
                  <c:v>77</c:v>
                </c:pt>
                <c:pt idx="14">
                  <c:v>77</c:v>
                </c:pt>
                <c:pt idx="15">
                  <c:v>78</c:v>
                </c:pt>
                <c:pt idx="16">
                  <c:v>81</c:v>
                </c:pt>
                <c:pt idx="17">
                  <c:v>86</c:v>
                </c:pt>
                <c:pt idx="18">
                  <c:v>110</c:v>
                </c:pt>
                <c:pt idx="19">
                  <c:v>117</c:v>
                </c:pt>
                <c:pt idx="20">
                  <c:v>131</c:v>
                </c:pt>
                <c:pt idx="21">
                  <c:v>144</c:v>
                </c:pt>
                <c:pt idx="22">
                  <c:v>171</c:v>
                </c:pt>
                <c:pt idx="23">
                  <c:v>358</c:v>
                </c:pt>
                <c:pt idx="24">
                  <c:v>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79-4153-AE4E-564F77501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kumimoji="0" lang="pl-PL" sz="11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Spadki i wzrosty liczby bezrobotnych </a:t>
            </a:r>
            <a:r>
              <a:rPr kumimoji="0" lang="en-US" sz="11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w powiat</a:t>
            </a:r>
            <a:r>
              <a:rPr kumimoji="0" lang="pl-PL" sz="11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ach [podkarpackie]</a:t>
            </a:r>
            <a:endParaRPr kumimoji="0" lang="en-US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7808108780213744"/>
          <c:y val="5.151331284667943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971075887508984E-2"/>
          <c:y val="9.384604092886846E-2"/>
          <c:w val="0.92202892411249104"/>
          <c:h val="0.870590330209915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'1sort'!$V$1</c:f>
              <c:strCache>
                <c:ptCount val="1"/>
                <c:pt idx="0">
                  <c:v>Spadki i wzrosty - liczba bezrobotnych wg powiatów [podkarpackie]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'1sort'!$W$4:$W$29</c:f>
              <c:strCache>
                <c:ptCount val="26"/>
                <c:pt idx="0">
                  <c:v>Rzeszów</c:v>
                </c:pt>
                <c:pt idx="1">
                  <c:v>strzyżowski</c:v>
                </c:pt>
                <c:pt idx="2">
                  <c:v>jarosławski</c:v>
                </c:pt>
                <c:pt idx="3">
                  <c:v>łańcucki</c:v>
                </c:pt>
                <c:pt idx="4">
                  <c:v>Przemyśl</c:v>
                </c:pt>
                <c:pt idx="5">
                  <c:v>niżański</c:v>
                </c:pt>
                <c:pt idx="6">
                  <c:v>kolbuszowski</c:v>
                </c:pt>
                <c:pt idx="7">
                  <c:v>ropczycko-sędziszowski</c:v>
                </c:pt>
                <c:pt idx="8">
                  <c:v>Krosno</c:v>
                </c:pt>
                <c:pt idx="9">
                  <c:v>krośnieński</c:v>
                </c:pt>
                <c:pt idx="10">
                  <c:v>mielecki</c:v>
                </c:pt>
                <c:pt idx="11">
                  <c:v>Tarnobrzeg</c:v>
                </c:pt>
                <c:pt idx="12">
                  <c:v>tarnobrzeski </c:v>
                </c:pt>
                <c:pt idx="13">
                  <c:v>bieszczadzki</c:v>
                </c:pt>
                <c:pt idx="14">
                  <c:v>leski</c:v>
                </c:pt>
                <c:pt idx="15">
                  <c:v>leżajski</c:v>
                </c:pt>
                <c:pt idx="16">
                  <c:v>brzozowski</c:v>
                </c:pt>
                <c:pt idx="17">
                  <c:v>lubaczowski</c:v>
                </c:pt>
                <c:pt idx="18">
                  <c:v>dębicki</c:v>
                </c:pt>
                <c:pt idx="19">
                  <c:v>przeworski</c:v>
                </c:pt>
                <c:pt idx="20">
                  <c:v>rzeszowski</c:v>
                </c:pt>
                <c:pt idx="21">
                  <c:v>sanocki</c:v>
                </c:pt>
                <c:pt idx="22">
                  <c:v>stalowowolski</c:v>
                </c:pt>
                <c:pt idx="23">
                  <c:v>przemyski</c:v>
                </c:pt>
                <c:pt idx="24">
                  <c:v>jasielski</c:v>
                </c:pt>
                <c:pt idx="25">
                  <c:v>województwo</c:v>
                </c:pt>
              </c:strCache>
            </c:strRef>
          </c:cat>
          <c:val>
            <c:numRef>
              <c:f>'1sort'!$X$4:$X$29</c:f>
              <c:numCache>
                <c:formatCode>#,##0</c:formatCode>
                <c:ptCount val="26"/>
                <c:pt idx="0" formatCode="General">
                  <c:v>-66</c:v>
                </c:pt>
                <c:pt idx="1">
                  <c:v>-48</c:v>
                </c:pt>
                <c:pt idx="2">
                  <c:v>-45</c:v>
                </c:pt>
                <c:pt idx="3">
                  <c:v>-42</c:v>
                </c:pt>
                <c:pt idx="4">
                  <c:v>-28</c:v>
                </c:pt>
                <c:pt idx="5">
                  <c:v>-26</c:v>
                </c:pt>
                <c:pt idx="6">
                  <c:v>-24</c:v>
                </c:pt>
                <c:pt idx="7">
                  <c:v>-22</c:v>
                </c:pt>
                <c:pt idx="8">
                  <c:v>-6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  <c:pt idx="16">
                  <c:v>36</c:v>
                </c:pt>
                <c:pt idx="17">
                  <c:v>39</c:v>
                </c:pt>
                <c:pt idx="18">
                  <c:v>40</c:v>
                </c:pt>
                <c:pt idx="19">
                  <c:v>43</c:v>
                </c:pt>
                <c:pt idx="20">
                  <c:v>48</c:v>
                </c:pt>
                <c:pt idx="21">
                  <c:v>49</c:v>
                </c:pt>
                <c:pt idx="22">
                  <c:v>53</c:v>
                </c:pt>
                <c:pt idx="23">
                  <c:v>61</c:v>
                </c:pt>
                <c:pt idx="24">
                  <c:v>72</c:v>
                </c:pt>
                <c:pt idx="25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0-42DA-A2EB-687A642BA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58"/>
        <c:axId val="83211168"/>
        <c:axId val="83197856"/>
      </c:barChart>
      <c:catAx>
        <c:axId val="8321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83197856"/>
        <c:crosses val="autoZero"/>
        <c:auto val="1"/>
        <c:lblAlgn val="ctr"/>
        <c:lblOffset val="100"/>
        <c:noMultiLvlLbl val="0"/>
      </c:catAx>
      <c:valAx>
        <c:axId val="83197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crossAx val="8321116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Bezrobotne kobiety zarejestrowane w PUP w woj. podkarpackim</a:t>
            </a:r>
          </a:p>
        </c:rich>
      </c:tx>
      <c:layout>
        <c:manualLayout>
          <c:xMode val="edge"/>
          <c:yMode val="edge"/>
          <c:x val="0.28174039628796954"/>
          <c:y val="3.06395419574003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171793945989809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'2sort'!$B$1:$C$1</c:f>
              <c:strCache>
                <c:ptCount val="1"/>
                <c:pt idx="0">
                  <c:v>Bezrobotne kobiety zarejestrowane w PUP w woj.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D3C-4037-B1E0-F7AD38217C7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D3C-4037-B1E0-F7AD38217C7E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3C-4037-B1E0-F7AD38217C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leski</c:v>
                </c:pt>
                <c:pt idx="5">
                  <c:v>kolbuszowski</c:v>
                </c:pt>
                <c:pt idx="6">
                  <c:v>lubaczowski</c:v>
                </c:pt>
                <c:pt idx="7">
                  <c:v>stalowowolski</c:v>
                </c:pt>
                <c:pt idx="8">
                  <c:v>Przemyśl</c:v>
                </c:pt>
                <c:pt idx="9">
                  <c:v>łańcucki</c:v>
                </c:pt>
                <c:pt idx="10">
                  <c:v>krośnieński</c:v>
                </c:pt>
                <c:pt idx="11">
                  <c:v>sanocki</c:v>
                </c:pt>
                <c:pt idx="12">
                  <c:v>ropczycko-sędziszowski</c:v>
                </c:pt>
                <c:pt idx="13">
                  <c:v>dębicki</c:v>
                </c:pt>
                <c:pt idx="14">
                  <c:v>mielecki</c:v>
                </c:pt>
                <c:pt idx="15">
                  <c:v>przemyski</c:v>
                </c:pt>
                <c:pt idx="16">
                  <c:v>strzyżowski</c:v>
                </c:pt>
                <c:pt idx="17">
                  <c:v>niżański</c:v>
                </c:pt>
                <c:pt idx="18">
                  <c:v>leżajski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Rzeszów</c:v>
                </c:pt>
                <c:pt idx="24">
                  <c:v>jasielski</c:v>
                </c:pt>
              </c:strCache>
            </c:strRef>
          </c:cat>
          <c:val>
            <c:numRef>
              <c:f>'2sort'!$D$4:$D$28</c:f>
              <c:numCache>
                <c:formatCode>#,##0</c:formatCode>
                <c:ptCount val="25"/>
                <c:pt idx="0" formatCode="General">
                  <c:v>426</c:v>
                </c:pt>
                <c:pt idx="1">
                  <c:v>495</c:v>
                </c:pt>
                <c:pt idx="2">
                  <c:v>552</c:v>
                </c:pt>
                <c:pt idx="3">
                  <c:v>663</c:v>
                </c:pt>
                <c:pt idx="4">
                  <c:v>717</c:v>
                </c:pt>
                <c:pt idx="5">
                  <c:v>724</c:v>
                </c:pt>
                <c:pt idx="6">
                  <c:v>782</c:v>
                </c:pt>
                <c:pt idx="7">
                  <c:v>1065</c:v>
                </c:pt>
                <c:pt idx="8">
                  <c:v>1151</c:v>
                </c:pt>
                <c:pt idx="9">
                  <c:v>1157</c:v>
                </c:pt>
                <c:pt idx="10">
                  <c:v>1164</c:v>
                </c:pt>
                <c:pt idx="11">
                  <c:v>1344</c:v>
                </c:pt>
                <c:pt idx="12">
                  <c:v>1389</c:v>
                </c:pt>
                <c:pt idx="13">
                  <c:v>1396</c:v>
                </c:pt>
                <c:pt idx="14">
                  <c:v>1460</c:v>
                </c:pt>
                <c:pt idx="15">
                  <c:v>1474</c:v>
                </c:pt>
                <c:pt idx="16">
                  <c:v>1516</c:v>
                </c:pt>
                <c:pt idx="17">
                  <c:v>1533</c:v>
                </c:pt>
                <c:pt idx="18">
                  <c:v>1562</c:v>
                </c:pt>
                <c:pt idx="19">
                  <c:v>1791</c:v>
                </c:pt>
                <c:pt idx="20">
                  <c:v>1866</c:v>
                </c:pt>
                <c:pt idx="21">
                  <c:v>2201</c:v>
                </c:pt>
                <c:pt idx="22">
                  <c:v>2264</c:v>
                </c:pt>
                <c:pt idx="23">
                  <c:v>2580</c:v>
                </c:pt>
                <c:pt idx="24">
                  <c:v>2795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3C-4037-B1E0-F7AD38217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208241792"/>
        <c:axId val="208243712"/>
      </c:barChart>
      <c:catAx>
        <c:axId val="208241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3712"/>
        <c:crosses val="autoZero"/>
        <c:auto val="1"/>
        <c:lblAlgn val="ctr"/>
        <c:lblOffset val="100"/>
        <c:noMultiLvlLbl val="0"/>
      </c:catAx>
      <c:valAx>
        <c:axId val="20824371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1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województw</a:t>
            </a:r>
          </a:p>
        </c:rich>
      </c:tx>
      <c:layout>
        <c:manualLayout>
          <c:xMode val="edge"/>
          <c:yMode val="edge"/>
          <c:x val="0.27654538642851895"/>
          <c:y val="3.474237012654424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'3sort'!$B$1</c:f>
              <c:strCache>
                <c:ptCount val="1"/>
                <c:pt idx="0">
                  <c:v>Stopa bezrobocia rejestrowanego - wg województw</c:v>
                </c:pt>
              </c:strCache>
            </c:strRef>
          </c:tx>
          <c:spPr>
            <a:solidFill>
              <a:srgbClr val="FDEADA"/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151-4BBA-97F7-B4F2CAA94FA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151-4BBA-97F7-B4F2CAA94FA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151-4BBA-97F7-B4F2CAA94FA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151-4BBA-97F7-B4F2CAA94FA1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151-4BBA-97F7-B4F2CAA94FA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'3sort'!$C$4:$C$20</c:f>
              <c:strCache>
                <c:ptCount val="17"/>
                <c:pt idx="0">
                  <c:v>WIELKOPOLSKIE</c:v>
                </c:pt>
                <c:pt idx="1">
                  <c:v>ŚLĄSKIE</c:v>
                </c:pt>
                <c:pt idx="2">
                  <c:v>MAŁOPOLSKIE</c:v>
                </c:pt>
                <c:pt idx="3">
                  <c:v>MAZOWIECKIE</c:v>
                </c:pt>
                <c:pt idx="4">
                  <c:v>DOLNOŚLĄSKIE</c:v>
                </c:pt>
                <c:pt idx="5">
                  <c:v>LUBUSKIE</c:v>
                </c:pt>
                <c:pt idx="6">
                  <c:v>POMORSKIE</c:v>
                </c:pt>
                <c:pt idx="7">
                  <c:v>POLSKA</c:v>
                </c:pt>
                <c:pt idx="8">
                  <c:v>ŁÓDZKIE</c:v>
                </c:pt>
                <c:pt idx="9">
                  <c:v>OPOLSKIE</c:v>
                </c:pt>
                <c:pt idx="10">
                  <c:v>ZACHODNIOPOMORSKIE</c:v>
                </c:pt>
                <c:pt idx="11">
                  <c:v>KUJAWSKO-POMORSKIE</c:v>
                </c:pt>
                <c:pt idx="12">
                  <c:v>PODLASKIE</c:v>
                </c:pt>
                <c:pt idx="13">
                  <c:v>LUBELSKIE</c:v>
                </c:pt>
                <c:pt idx="14">
                  <c:v>ŚWIĘTOKRZYSKIE</c:v>
                </c:pt>
                <c:pt idx="15">
                  <c:v>WARMIŃSKO-MAZURSKIE</c:v>
                </c:pt>
                <c:pt idx="16">
                  <c:v>PODKARPACKIE</c:v>
                </c:pt>
              </c:strCache>
            </c:strRef>
          </c:cat>
          <c:val>
            <c:numRef>
              <c:f>'3sort'!$D$4:$D$20</c:f>
              <c:numCache>
                <c:formatCode>0.0</c:formatCode>
                <c:ptCount val="17"/>
                <c:pt idx="0">
                  <c:v>3</c:v>
                </c:pt>
                <c:pt idx="1">
                  <c:v>3.6</c:v>
                </c:pt>
                <c:pt idx="2">
                  <c:v>4.0999999999999996</c:v>
                </c:pt>
                <c:pt idx="3">
                  <c:v>4.0999999999999996</c:v>
                </c:pt>
                <c:pt idx="4">
                  <c:v>4.3</c:v>
                </c:pt>
                <c:pt idx="5">
                  <c:v>4.3</c:v>
                </c:pt>
                <c:pt idx="6">
                  <c:v>4.5999999999999996</c:v>
                </c:pt>
                <c:pt idx="7">
                  <c:v>5</c:v>
                </c:pt>
                <c:pt idx="8">
                  <c:v>5.3</c:v>
                </c:pt>
                <c:pt idx="9">
                  <c:v>5.6</c:v>
                </c:pt>
                <c:pt idx="10">
                  <c:v>6.5</c:v>
                </c:pt>
                <c:pt idx="11">
                  <c:v>6.8</c:v>
                </c:pt>
                <c:pt idx="12">
                  <c:v>6.8</c:v>
                </c:pt>
                <c:pt idx="13">
                  <c:v>7.3</c:v>
                </c:pt>
                <c:pt idx="14">
                  <c:v>7.5</c:v>
                </c:pt>
                <c:pt idx="15">
                  <c:v>7.9</c:v>
                </c:pt>
                <c:pt idx="16">
                  <c:v>8.3000000000000007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51-4BBA-97F7-B4F2CAA9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3823488"/>
        <c:axId val="43825024"/>
      </c:barChart>
      <c:catAx>
        <c:axId val="438234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3825024"/>
        <c:crosses val="autoZero"/>
        <c:auto val="1"/>
        <c:lblAlgn val="ctr"/>
        <c:lblOffset val="100"/>
        <c:noMultiLvlLbl val="0"/>
      </c:catAx>
      <c:valAx>
        <c:axId val="43825024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crossAx val="43823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powiatów w województwie podkarpackim</a:t>
            </a:r>
          </a:p>
        </c:rich>
      </c:tx>
      <c:layout>
        <c:manualLayout>
          <c:xMode val="edge"/>
          <c:yMode val="edge"/>
          <c:x val="0.28801292390590288"/>
          <c:y val="3.193785919103019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435292930213782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'4sort'!$B$1</c:f>
              <c:strCache>
                <c:ptCount val="1"/>
                <c:pt idx="0">
                  <c:v>Stopa bezrobocia rejestrowanego - wg powiatów w województwie podkarpackim</c:v>
                </c:pt>
              </c:strCache>
            </c:strRef>
          </c:tx>
          <c:spPr>
            <a:solidFill>
              <a:srgbClr val="FDEADA"/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E62-495A-B5ED-EB078D5C989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E62-495A-B5ED-EB078D5C989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E62-495A-B5ED-EB078D5C989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E62-495A-B5ED-EB078D5C989D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E62-495A-B5ED-EB078D5C989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E62-495A-B5ED-EB078D5C989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'4sort'!$C$4:$C$30</c:f>
              <c:strCache>
                <c:ptCount val="27"/>
                <c:pt idx="0">
                  <c:v>Powiat m.Krosno</c:v>
                </c:pt>
                <c:pt idx="1">
                  <c:v>Powiat m.Rzeszów</c:v>
                </c:pt>
                <c:pt idx="2">
                  <c:v>Powiat dębicki</c:v>
                </c:pt>
                <c:pt idx="3">
                  <c:v>Powiat stalowowolski</c:v>
                </c:pt>
                <c:pt idx="4">
                  <c:v>POLSKA</c:v>
                </c:pt>
                <c:pt idx="5">
                  <c:v>Powiat mielecki</c:v>
                </c:pt>
                <c:pt idx="6">
                  <c:v>Powiat m.Tarnobrzeg</c:v>
                </c:pt>
                <c:pt idx="7">
                  <c:v>Powiat rzeszowski</c:v>
                </c:pt>
                <c:pt idx="8">
                  <c:v>Powiat tarnobrzeski</c:v>
                </c:pt>
                <c:pt idx="9">
                  <c:v>Powiat kolbuszowski</c:v>
                </c:pt>
                <c:pt idx="10">
                  <c:v>Powiat krośnieński</c:v>
                </c:pt>
                <c:pt idx="11">
                  <c:v>Powiat sanocki</c:v>
                </c:pt>
                <c:pt idx="12">
                  <c:v>PODKARPACKIE</c:v>
                </c:pt>
                <c:pt idx="13">
                  <c:v>Powiat łańcucki</c:v>
                </c:pt>
                <c:pt idx="14">
                  <c:v>Powiat lubaczowski</c:v>
                </c:pt>
                <c:pt idx="15">
                  <c:v>Powiat m.Przemyśl</c:v>
                </c:pt>
                <c:pt idx="16">
                  <c:v>Powiat jarosławski</c:v>
                </c:pt>
                <c:pt idx="17">
                  <c:v>Powiat ropczycko-sędziszowski</c:v>
                </c:pt>
                <c:pt idx="18">
                  <c:v>Powiat jasielski</c:v>
                </c:pt>
                <c:pt idx="19">
                  <c:v>Powiat przeworski</c:v>
                </c:pt>
                <c:pt idx="20">
                  <c:v>Powiat leżajski</c:v>
                </c:pt>
                <c:pt idx="21">
                  <c:v>Powiat bieszczadzki</c:v>
                </c:pt>
                <c:pt idx="22">
                  <c:v>Powiat przemyski</c:v>
                </c:pt>
                <c:pt idx="23">
                  <c:v>Powiat niżański</c:v>
                </c:pt>
                <c:pt idx="24">
                  <c:v>Powiat strzyżowski</c:v>
                </c:pt>
                <c:pt idx="25">
                  <c:v>Powiat leski</c:v>
                </c:pt>
                <c:pt idx="26">
                  <c:v>Powiat brzozowski</c:v>
                </c:pt>
              </c:strCache>
            </c:strRef>
          </c:cat>
          <c:val>
            <c:numRef>
              <c:f>'4sort'!$D$4:$D$30</c:f>
              <c:numCache>
                <c:formatCode>0.0</c:formatCode>
                <c:ptCount val="27"/>
                <c:pt idx="0">
                  <c:v>2.8</c:v>
                </c:pt>
                <c:pt idx="1">
                  <c:v>4.0999999999999996</c:v>
                </c:pt>
                <c:pt idx="2">
                  <c:v>4.5999999999999996</c:v>
                </c:pt>
                <c:pt idx="3">
                  <c:v>4.7</c:v>
                </c:pt>
                <c:pt idx="4">
                  <c:v>5</c:v>
                </c:pt>
                <c:pt idx="5">
                  <c:v>5.0999999999999996</c:v>
                </c:pt>
                <c:pt idx="6">
                  <c:v>7</c:v>
                </c:pt>
                <c:pt idx="7">
                  <c:v>7.4</c:v>
                </c:pt>
                <c:pt idx="8">
                  <c:v>7.4</c:v>
                </c:pt>
                <c:pt idx="9">
                  <c:v>7.5</c:v>
                </c:pt>
                <c:pt idx="10">
                  <c:v>7.8</c:v>
                </c:pt>
                <c:pt idx="11">
                  <c:v>8</c:v>
                </c:pt>
                <c:pt idx="12">
                  <c:v>8.3000000000000007</c:v>
                </c:pt>
                <c:pt idx="13">
                  <c:v>9</c:v>
                </c:pt>
                <c:pt idx="14">
                  <c:v>9.6</c:v>
                </c:pt>
                <c:pt idx="15">
                  <c:v>9.8000000000000007</c:v>
                </c:pt>
                <c:pt idx="16">
                  <c:v>10.3</c:v>
                </c:pt>
                <c:pt idx="17">
                  <c:v>10.3</c:v>
                </c:pt>
                <c:pt idx="18">
                  <c:v>12.6</c:v>
                </c:pt>
                <c:pt idx="19">
                  <c:v>13.1</c:v>
                </c:pt>
                <c:pt idx="20">
                  <c:v>13.8</c:v>
                </c:pt>
                <c:pt idx="21">
                  <c:v>14.3</c:v>
                </c:pt>
                <c:pt idx="22">
                  <c:v>14.9</c:v>
                </c:pt>
                <c:pt idx="23">
                  <c:v>15.9</c:v>
                </c:pt>
                <c:pt idx="24">
                  <c:v>16.3</c:v>
                </c:pt>
                <c:pt idx="25">
                  <c:v>17.399999999999999</c:v>
                </c:pt>
                <c:pt idx="26">
                  <c:v>19.899999999999999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62-495A-B5ED-EB078D5C9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009920"/>
        <c:axId val="45011712"/>
      </c:barChart>
      <c:catAx>
        <c:axId val="4500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011712"/>
        <c:crosses val="autoZero"/>
        <c:auto val="1"/>
        <c:lblAlgn val="ctr"/>
        <c:lblOffset val="100"/>
        <c:noMultiLvlLbl val="0"/>
      </c:catAx>
      <c:valAx>
        <c:axId val="4501171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009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zamieszkłaych na wsi w województwie podkarpackim</a:t>
            </a:r>
          </a:p>
        </c:rich>
      </c:tx>
      <c:layout>
        <c:manualLayout>
          <c:xMode val="edge"/>
          <c:yMode val="edge"/>
          <c:x val="0.30270230792241981"/>
          <c:y val="2.90151982978374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'5sort'!$B$1</c:f>
              <c:strCache>
                <c:ptCount val="1"/>
                <c:pt idx="0">
                  <c:v>Liczba bezrobotnych zamieszkłaych na wsi w województwie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EF6-4CD7-AD3E-E88E51C3A65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EF6-4CD7-AD3E-E88E51C3A65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F6-4CD7-AD3E-E88E51C3A6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'5sort'!$C$4:$C$24</c:f>
              <c:strCache>
                <c:ptCount val="21"/>
                <c:pt idx="0">
                  <c:v>bieszczadzki</c:v>
                </c:pt>
                <c:pt idx="1">
                  <c:v>stalowowolski</c:v>
                </c:pt>
                <c:pt idx="2">
                  <c:v>tarnobrzeski </c:v>
                </c:pt>
                <c:pt idx="3">
                  <c:v>lubaczowski</c:v>
                </c:pt>
                <c:pt idx="4">
                  <c:v>kolbuszowski</c:v>
                </c:pt>
                <c:pt idx="5">
                  <c:v>leski</c:v>
                </c:pt>
                <c:pt idx="6">
                  <c:v>dębicki</c:v>
                </c:pt>
                <c:pt idx="7">
                  <c:v>mielecki</c:v>
                </c:pt>
                <c:pt idx="8">
                  <c:v>sanocki</c:v>
                </c:pt>
                <c:pt idx="9">
                  <c:v>ropczycko-sędziszowski</c:v>
                </c:pt>
                <c:pt idx="10">
                  <c:v>krośnieński</c:v>
                </c:pt>
                <c:pt idx="11">
                  <c:v>łańcucki</c:v>
                </c:pt>
                <c:pt idx="12">
                  <c:v>niżański</c:v>
                </c:pt>
                <c:pt idx="13">
                  <c:v>leżajski</c:v>
                </c:pt>
                <c:pt idx="14">
                  <c:v>przeworski</c:v>
                </c:pt>
                <c:pt idx="15">
                  <c:v>jarosławski</c:v>
                </c:pt>
                <c:pt idx="16">
                  <c:v>strzyżowski</c:v>
                </c:pt>
                <c:pt idx="17">
                  <c:v>przemyski</c:v>
                </c:pt>
                <c:pt idx="18">
                  <c:v>brzozowski</c:v>
                </c:pt>
                <c:pt idx="19">
                  <c:v>jasielski</c:v>
                </c:pt>
                <c:pt idx="20">
                  <c:v>rzeszowski</c:v>
                </c:pt>
              </c:strCache>
            </c:strRef>
          </c:cat>
          <c:val>
            <c:numRef>
              <c:f>'5sort'!$D$4:$D$24</c:f>
              <c:numCache>
                <c:formatCode>#,##0</c:formatCode>
                <c:ptCount val="21"/>
                <c:pt idx="0" formatCode="General">
                  <c:v>623</c:v>
                </c:pt>
                <c:pt idx="1">
                  <c:v>746</c:v>
                </c:pt>
                <c:pt idx="2">
                  <c:v>1024</c:v>
                </c:pt>
                <c:pt idx="3">
                  <c:v>1105</c:v>
                </c:pt>
                <c:pt idx="4">
                  <c:v>1288</c:v>
                </c:pt>
                <c:pt idx="5">
                  <c:v>1291</c:v>
                </c:pt>
                <c:pt idx="6">
                  <c:v>1386</c:v>
                </c:pt>
                <c:pt idx="7">
                  <c:v>1466</c:v>
                </c:pt>
                <c:pt idx="8">
                  <c:v>1556</c:v>
                </c:pt>
                <c:pt idx="9">
                  <c:v>1644</c:v>
                </c:pt>
                <c:pt idx="10">
                  <c:v>1872</c:v>
                </c:pt>
                <c:pt idx="11">
                  <c:v>1879</c:v>
                </c:pt>
                <c:pt idx="12">
                  <c:v>1925</c:v>
                </c:pt>
                <c:pt idx="13">
                  <c:v>2216</c:v>
                </c:pt>
                <c:pt idx="14">
                  <c:v>2491</c:v>
                </c:pt>
                <c:pt idx="15">
                  <c:v>2554</c:v>
                </c:pt>
                <c:pt idx="16">
                  <c:v>2629</c:v>
                </c:pt>
                <c:pt idx="17">
                  <c:v>2802</c:v>
                </c:pt>
                <c:pt idx="18">
                  <c:v>3352</c:v>
                </c:pt>
                <c:pt idx="19">
                  <c:v>3427</c:v>
                </c:pt>
                <c:pt idx="20">
                  <c:v>3602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F6-4CD7-AD3E-E88E51C3A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04992"/>
        <c:axId val="45206528"/>
      </c:barChart>
      <c:catAx>
        <c:axId val="45204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6528"/>
        <c:crosses val="autoZero"/>
        <c:auto val="1"/>
        <c:lblAlgn val="ctr"/>
        <c:lblOffset val="100"/>
        <c:noMultiLvlLbl val="0"/>
      </c:catAx>
      <c:valAx>
        <c:axId val="4520652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4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12 m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-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*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(w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szczególnej syt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0608225946856062"/>
          <c:y val="2.8041115912929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'6sort'!$B$1</c:f>
              <c:strCache>
                <c:ptCount val="1"/>
                <c:pt idx="0">
                  <c:v>Liczba bezrobotnych powyżej 12 miesięcy* - w szczególnej sytuacji na rynku pracy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E6E-4E84-AD9E-6E14E79C369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E6E-4E84-AD9E-6E14E79C3697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6E-4E84-AD9E-6E14E79C36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bieszczadzki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stalowowolski</c:v>
                </c:pt>
                <c:pt idx="6">
                  <c:v>lubaczowski</c:v>
                </c:pt>
                <c:pt idx="7">
                  <c:v>krośnieński</c:v>
                </c:pt>
                <c:pt idx="8">
                  <c:v>dębicki</c:v>
                </c:pt>
                <c:pt idx="9">
                  <c:v>leski</c:v>
                </c:pt>
                <c:pt idx="10">
                  <c:v>łańcucki</c:v>
                </c:pt>
                <c:pt idx="11">
                  <c:v>mielecki</c:v>
                </c:pt>
                <c:pt idx="12">
                  <c:v>ropczycko-sędziszowski</c:v>
                </c:pt>
                <c:pt idx="13">
                  <c:v>sanocki</c:v>
                </c:pt>
                <c:pt idx="14">
                  <c:v>Przemyśl</c:v>
                </c:pt>
                <c:pt idx="15">
                  <c:v>niżański</c:v>
                </c:pt>
                <c:pt idx="16">
                  <c:v>przemyski</c:v>
                </c:pt>
                <c:pt idx="17">
                  <c:v>leżajski</c:v>
                </c:pt>
                <c:pt idx="18">
                  <c:v>strzyżowski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'6sort'!$D$4:$D$28</c:f>
              <c:numCache>
                <c:formatCode>#,##0</c:formatCode>
                <c:ptCount val="25"/>
                <c:pt idx="0" formatCode="General">
                  <c:v>291</c:v>
                </c:pt>
                <c:pt idx="1">
                  <c:v>534</c:v>
                </c:pt>
                <c:pt idx="2">
                  <c:v>590</c:v>
                </c:pt>
                <c:pt idx="3">
                  <c:v>618</c:v>
                </c:pt>
                <c:pt idx="4">
                  <c:v>731</c:v>
                </c:pt>
                <c:pt idx="5">
                  <c:v>745</c:v>
                </c:pt>
                <c:pt idx="6">
                  <c:v>883</c:v>
                </c:pt>
                <c:pt idx="7">
                  <c:v>914</c:v>
                </c:pt>
                <c:pt idx="8">
                  <c:v>949</c:v>
                </c:pt>
                <c:pt idx="9">
                  <c:v>1034</c:v>
                </c:pt>
                <c:pt idx="10">
                  <c:v>1228</c:v>
                </c:pt>
                <c:pt idx="11">
                  <c:v>1285</c:v>
                </c:pt>
                <c:pt idx="12">
                  <c:v>1336</c:v>
                </c:pt>
                <c:pt idx="13">
                  <c:v>1347</c:v>
                </c:pt>
                <c:pt idx="14">
                  <c:v>1491</c:v>
                </c:pt>
                <c:pt idx="15">
                  <c:v>1651</c:v>
                </c:pt>
                <c:pt idx="16">
                  <c:v>1710</c:v>
                </c:pt>
                <c:pt idx="17">
                  <c:v>1722</c:v>
                </c:pt>
                <c:pt idx="18">
                  <c:v>1889</c:v>
                </c:pt>
                <c:pt idx="19">
                  <c:v>1993</c:v>
                </c:pt>
                <c:pt idx="20">
                  <c:v>2376</c:v>
                </c:pt>
                <c:pt idx="21">
                  <c:v>2478</c:v>
                </c:pt>
                <c:pt idx="22">
                  <c:v>2620</c:v>
                </c:pt>
                <c:pt idx="23">
                  <c:v>2979</c:v>
                </c:pt>
                <c:pt idx="24">
                  <c:v>3081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6E-4E84-AD9E-6E14E79C3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80640"/>
        <c:axId val="134677632"/>
      </c:barChart>
      <c:catAx>
        <c:axId val="45280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677632"/>
        <c:crosses val="autoZero"/>
        <c:auto val="1"/>
        <c:lblAlgn val="ctr"/>
        <c:lblOffset val="100"/>
        <c:noMultiLvlLbl val="0"/>
      </c:catAx>
      <c:valAx>
        <c:axId val="1346776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80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do 30 roku życia (w szczególnej sytuacji na rynku pracy)</a:t>
            </a:r>
          </a:p>
        </c:rich>
      </c:tx>
      <c:layout>
        <c:manualLayout>
          <c:xMode val="edge"/>
          <c:yMode val="edge"/>
          <c:x val="0.21171269709515514"/>
          <c:y val="2.3890521264373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12009269479742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'7sort'!$B$1</c:f>
              <c:strCache>
                <c:ptCount val="1"/>
                <c:pt idx="0">
                  <c:v>Liczba bezrobotnych do 30 roku życia - w szczególnej sytuacji na rynku pracy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F08-4446-B601-462C57B2D81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F08-4446-B601-462C57B2D81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08-4446-B601-462C57B2D8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bieszczadzki</c:v>
                </c:pt>
                <c:pt idx="3">
                  <c:v>tarnobrzeski </c:v>
                </c:pt>
                <c:pt idx="4">
                  <c:v>leski</c:v>
                </c:pt>
                <c:pt idx="5">
                  <c:v>Przemyśl</c:v>
                </c:pt>
                <c:pt idx="6">
                  <c:v>kolbuszowski</c:v>
                </c:pt>
                <c:pt idx="7">
                  <c:v>lubaczowski</c:v>
                </c:pt>
                <c:pt idx="8">
                  <c:v>stalowowolski</c:v>
                </c:pt>
                <c:pt idx="9">
                  <c:v>krośnieński</c:v>
                </c:pt>
                <c:pt idx="10">
                  <c:v>łańcucki</c:v>
                </c:pt>
                <c:pt idx="11">
                  <c:v>dębicki</c:v>
                </c:pt>
                <c:pt idx="12">
                  <c:v>sanocki</c:v>
                </c:pt>
                <c:pt idx="13">
                  <c:v>ropczycko-sędziszowski</c:v>
                </c:pt>
                <c:pt idx="14">
                  <c:v>przemyski</c:v>
                </c:pt>
                <c:pt idx="15">
                  <c:v>mielecki</c:v>
                </c:pt>
                <c:pt idx="16">
                  <c:v>niżański</c:v>
                </c:pt>
                <c:pt idx="17">
                  <c:v>strzyżowski</c:v>
                </c:pt>
                <c:pt idx="18">
                  <c:v>leżajski</c:v>
                </c:pt>
                <c:pt idx="19">
                  <c:v>Rzeszów</c:v>
                </c:pt>
                <c:pt idx="20">
                  <c:v>przeworski</c:v>
                </c:pt>
                <c:pt idx="21">
                  <c:v>brzozowski</c:v>
                </c:pt>
                <c:pt idx="22">
                  <c:v>jarosławski</c:v>
                </c:pt>
                <c:pt idx="23">
                  <c:v>rzeszowski</c:v>
                </c:pt>
                <c:pt idx="24">
                  <c:v>jasielski</c:v>
                </c:pt>
              </c:strCache>
            </c:strRef>
          </c:cat>
          <c:val>
            <c:numRef>
              <c:f>'7sort'!$D$4:$D$28</c:f>
              <c:numCache>
                <c:formatCode>#,##0</c:formatCode>
                <c:ptCount val="25"/>
                <c:pt idx="0" formatCode="General">
                  <c:v>136</c:v>
                </c:pt>
                <c:pt idx="1">
                  <c:v>228</c:v>
                </c:pt>
                <c:pt idx="2">
                  <c:v>271</c:v>
                </c:pt>
                <c:pt idx="3">
                  <c:v>322</c:v>
                </c:pt>
                <c:pt idx="4">
                  <c:v>406</c:v>
                </c:pt>
                <c:pt idx="5">
                  <c:v>408</c:v>
                </c:pt>
                <c:pt idx="6">
                  <c:v>415</c:v>
                </c:pt>
                <c:pt idx="7">
                  <c:v>483</c:v>
                </c:pt>
                <c:pt idx="8">
                  <c:v>536</c:v>
                </c:pt>
                <c:pt idx="9">
                  <c:v>571</c:v>
                </c:pt>
                <c:pt idx="10">
                  <c:v>673</c:v>
                </c:pt>
                <c:pt idx="11">
                  <c:v>708</c:v>
                </c:pt>
                <c:pt idx="12">
                  <c:v>723</c:v>
                </c:pt>
                <c:pt idx="13">
                  <c:v>770</c:v>
                </c:pt>
                <c:pt idx="14">
                  <c:v>779</c:v>
                </c:pt>
                <c:pt idx="15">
                  <c:v>786</c:v>
                </c:pt>
                <c:pt idx="16">
                  <c:v>814</c:v>
                </c:pt>
                <c:pt idx="17">
                  <c:v>819</c:v>
                </c:pt>
                <c:pt idx="18">
                  <c:v>850</c:v>
                </c:pt>
                <c:pt idx="19">
                  <c:v>875</c:v>
                </c:pt>
                <c:pt idx="20">
                  <c:v>907</c:v>
                </c:pt>
                <c:pt idx="21">
                  <c:v>988</c:v>
                </c:pt>
                <c:pt idx="22">
                  <c:v>1077</c:v>
                </c:pt>
                <c:pt idx="23">
                  <c:v>1219</c:v>
                </c:pt>
                <c:pt idx="24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08-4446-B601-462C57B2D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4739840"/>
        <c:axId val="134741376"/>
      </c:barChart>
      <c:catAx>
        <c:axId val="134739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41376"/>
        <c:crosses val="autoZero"/>
        <c:auto val="1"/>
        <c:lblAlgn val="ctr"/>
        <c:lblOffset val="100"/>
        <c:noMultiLvlLbl val="0"/>
      </c:catAx>
      <c:valAx>
        <c:axId val="13474137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39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50 roku życia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w szczególnej sytuacji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1622374139943246"/>
          <c:y val="1.0855316402468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'8sort'!$B$1</c:f>
              <c:strCache>
                <c:ptCount val="1"/>
                <c:pt idx="0">
                  <c:v>Liczba bezrobotnych powyżej 50 roku życia - w szczególnej sytuacji na rynku pracy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F13-48FD-9FD4-90757E06598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F13-48FD-9FD4-90757E0659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leski</c:v>
                </c:pt>
                <c:pt idx="5">
                  <c:v>kolbuszowski</c:v>
                </c:pt>
                <c:pt idx="6">
                  <c:v>lubaczowski</c:v>
                </c:pt>
                <c:pt idx="7">
                  <c:v>stalowowolski</c:v>
                </c:pt>
                <c:pt idx="8">
                  <c:v>dębicki</c:v>
                </c:pt>
                <c:pt idx="9">
                  <c:v>krośnieński</c:v>
                </c:pt>
                <c:pt idx="10">
                  <c:v>łańcucki</c:v>
                </c:pt>
                <c:pt idx="11">
                  <c:v>ropczycko-sędziszowski</c:v>
                </c:pt>
                <c:pt idx="12">
                  <c:v>sanocki</c:v>
                </c:pt>
                <c:pt idx="13">
                  <c:v>leżajski</c:v>
                </c:pt>
                <c:pt idx="14">
                  <c:v>Przemyśl</c:v>
                </c:pt>
                <c:pt idx="15">
                  <c:v>przeworski</c:v>
                </c:pt>
                <c:pt idx="16">
                  <c:v>strzyżowski</c:v>
                </c:pt>
                <c:pt idx="17">
                  <c:v>niżański</c:v>
                </c:pt>
                <c:pt idx="18">
                  <c:v>przemyski</c:v>
                </c:pt>
                <c:pt idx="19">
                  <c:v>mielecki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'8sort'!$D$4:$D$28</c:f>
              <c:numCache>
                <c:formatCode>#,##0</c:formatCode>
                <c:ptCount val="25"/>
                <c:pt idx="0" formatCode="General">
                  <c:v>182</c:v>
                </c:pt>
                <c:pt idx="1">
                  <c:v>229</c:v>
                </c:pt>
                <c:pt idx="2">
                  <c:v>271</c:v>
                </c:pt>
                <c:pt idx="3">
                  <c:v>360</c:v>
                </c:pt>
                <c:pt idx="4">
                  <c:v>381</c:v>
                </c:pt>
                <c:pt idx="5">
                  <c:v>385</c:v>
                </c:pt>
                <c:pt idx="6">
                  <c:v>457</c:v>
                </c:pt>
                <c:pt idx="7">
                  <c:v>479</c:v>
                </c:pt>
                <c:pt idx="8">
                  <c:v>545</c:v>
                </c:pt>
                <c:pt idx="9">
                  <c:v>548</c:v>
                </c:pt>
                <c:pt idx="10">
                  <c:v>551</c:v>
                </c:pt>
                <c:pt idx="11">
                  <c:v>607</c:v>
                </c:pt>
                <c:pt idx="12">
                  <c:v>624</c:v>
                </c:pt>
                <c:pt idx="13">
                  <c:v>677</c:v>
                </c:pt>
                <c:pt idx="14">
                  <c:v>677</c:v>
                </c:pt>
                <c:pt idx="15">
                  <c:v>694</c:v>
                </c:pt>
                <c:pt idx="16">
                  <c:v>694</c:v>
                </c:pt>
                <c:pt idx="17">
                  <c:v>697</c:v>
                </c:pt>
                <c:pt idx="18">
                  <c:v>700</c:v>
                </c:pt>
                <c:pt idx="19">
                  <c:v>733</c:v>
                </c:pt>
                <c:pt idx="20">
                  <c:v>888</c:v>
                </c:pt>
                <c:pt idx="21">
                  <c:v>1015</c:v>
                </c:pt>
                <c:pt idx="22">
                  <c:v>1092</c:v>
                </c:pt>
                <c:pt idx="23">
                  <c:v>1097</c:v>
                </c:pt>
                <c:pt idx="24">
                  <c:v>1347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13-48FD-9FD4-90757E065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7716480"/>
        <c:axId val="137718016"/>
      </c:barChart>
      <c:catAx>
        <c:axId val="137716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8016"/>
        <c:crosses val="autoZero"/>
        <c:auto val="1"/>
        <c:lblAlgn val="ctr"/>
        <c:lblOffset val="100"/>
        <c:noMultiLvlLbl val="0"/>
      </c:catAx>
      <c:valAx>
        <c:axId val="13771801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6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85949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68490</xdr:colOff>
      <xdr:row>2</xdr:row>
      <xdr:rowOff>67884</xdr:rowOff>
    </xdr:from>
    <xdr:to>
      <xdr:col>20</xdr:col>
      <xdr:colOff>5104</xdr:colOff>
      <xdr:row>19</xdr:row>
      <xdr:rowOff>122464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95251</xdr:colOff>
      <xdr:row>19</xdr:row>
      <xdr:rowOff>47622</xdr:rowOff>
    </xdr:from>
    <xdr:to>
      <xdr:col>18</xdr:col>
      <xdr:colOff>408215</xdr:colOff>
      <xdr:row>41</xdr:row>
      <xdr:rowOff>71434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258333D5-9A66-40F4-8741-A9108079F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361949</xdr:colOff>
      <xdr:row>1</xdr:row>
      <xdr:rowOff>76200</xdr:rowOff>
    </xdr:from>
    <xdr:to>
      <xdr:col>23</xdr:col>
      <xdr:colOff>590550</xdr:colOff>
      <xdr:row>1</xdr:row>
      <xdr:rowOff>209550</xdr:rowOff>
    </xdr:to>
    <xdr:sp macro="" textlink="">
      <xdr:nvSpPr>
        <xdr:cNvPr id="5" name="Schemat blokowy: scalanie 4">
          <a:extLst>
            <a:ext uri="{FF2B5EF4-FFF2-40B4-BE49-F238E27FC236}">
              <a16:creationId xmlns:a16="http://schemas.microsoft.com/office/drawing/2014/main" id="{13DBE3A2-4823-4E59-A126-A234DEB0B024}"/>
            </a:ext>
          </a:extLst>
        </xdr:cNvPr>
        <xdr:cNvSpPr/>
      </xdr:nvSpPr>
      <xdr:spPr>
        <a:xfrm>
          <a:off x="2588418" y="254794"/>
          <a:ext cx="228601" cy="11430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361949</xdr:colOff>
      <xdr:row>1</xdr:row>
      <xdr:rowOff>76200</xdr:rowOff>
    </xdr:from>
    <xdr:to>
      <xdr:col>28</xdr:col>
      <xdr:colOff>590550</xdr:colOff>
      <xdr:row>1</xdr:row>
      <xdr:rowOff>209550</xdr:rowOff>
    </xdr:to>
    <xdr:sp macro="" textlink="">
      <xdr:nvSpPr>
        <xdr:cNvPr id="7" name="Schemat blokowy: scalanie 6">
          <a:extLst>
            <a:ext uri="{FF2B5EF4-FFF2-40B4-BE49-F238E27FC236}">
              <a16:creationId xmlns:a16="http://schemas.microsoft.com/office/drawing/2014/main" id="{936A6CA6-42E8-4F8B-B5DD-51E4CCDCE993}"/>
            </a:ext>
          </a:extLst>
        </xdr:cNvPr>
        <xdr:cNvSpPr/>
      </xdr:nvSpPr>
      <xdr:spPr>
        <a:xfrm>
          <a:off x="17112342" y="253093"/>
          <a:ext cx="228601" cy="11430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1024467</xdr:colOff>
      <xdr:row>2</xdr:row>
      <xdr:rowOff>49742</xdr:rowOff>
    </xdr:from>
    <xdr:to>
      <xdr:col>19</xdr:col>
      <xdr:colOff>135468</xdr:colOff>
      <xdr:row>19</xdr:row>
      <xdr:rowOff>85726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516A7468-C1FD-4298-8E7C-C0BD29F96BC7}"/>
            </a:ext>
          </a:extLst>
        </xdr:cNvPr>
        <xdr:cNvSpPr/>
      </xdr:nvSpPr>
      <xdr:spPr>
        <a:xfrm>
          <a:off x="2714624" y="314325"/>
          <a:ext cx="228601" cy="11430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1131623</xdr:colOff>
      <xdr:row>2</xdr:row>
      <xdr:rowOff>37835</xdr:rowOff>
    </xdr:from>
    <xdr:to>
      <xdr:col>19</xdr:col>
      <xdr:colOff>242624</xdr:colOff>
      <xdr:row>19</xdr:row>
      <xdr:rowOff>73819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7EF57E43-C5FB-4B72-BA24-C746B8A7A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3" name="Schemat blokowy: scalani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285999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39689</xdr:colOff>
      <xdr:row>1</xdr:row>
      <xdr:rowOff>61384</xdr:rowOff>
    </xdr:from>
    <xdr:to>
      <xdr:col>18</xdr:col>
      <xdr:colOff>137584</xdr:colOff>
      <xdr:row>23</xdr:row>
      <xdr:rowOff>35719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247383</xdr:colOff>
      <xdr:row>2</xdr:row>
      <xdr:rowOff>84402</xdr:rowOff>
    </xdr:from>
    <xdr:to>
      <xdr:col>18</xdr:col>
      <xdr:colOff>559593</xdr:colOff>
      <xdr:row>19</xdr:row>
      <xdr:rowOff>71437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25400</xdr:colOff>
      <xdr:row>2</xdr:row>
      <xdr:rowOff>3174</xdr:rowOff>
    </xdr:from>
    <xdr:to>
      <xdr:col>18</xdr:col>
      <xdr:colOff>190501</xdr:colOff>
      <xdr:row>23</xdr:row>
      <xdr:rowOff>83343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296862</xdr:colOff>
      <xdr:row>1</xdr:row>
      <xdr:rowOff>134142</xdr:rowOff>
    </xdr:from>
    <xdr:to>
      <xdr:col>19</xdr:col>
      <xdr:colOff>202406</xdr:colOff>
      <xdr:row>21</xdr:row>
      <xdr:rowOff>23812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195792</xdr:colOff>
      <xdr:row>1</xdr:row>
      <xdr:rowOff>9261</xdr:rowOff>
    </xdr:from>
    <xdr:to>
      <xdr:col>19</xdr:col>
      <xdr:colOff>7936</xdr:colOff>
      <xdr:row>18</xdr:row>
      <xdr:rowOff>107156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107951</xdr:colOff>
      <xdr:row>1</xdr:row>
      <xdr:rowOff>20108</xdr:rowOff>
    </xdr:from>
    <xdr:to>
      <xdr:col>18</xdr:col>
      <xdr:colOff>296334</xdr:colOff>
      <xdr:row>18</xdr:row>
      <xdr:rowOff>166687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1016000</xdr:colOff>
      <xdr:row>1</xdr:row>
      <xdr:rowOff>184149</xdr:rowOff>
    </xdr:from>
    <xdr:to>
      <xdr:col>20</xdr:col>
      <xdr:colOff>1588</xdr:colOff>
      <xdr:row>20</xdr:row>
      <xdr:rowOff>83343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1045633</xdr:colOff>
      <xdr:row>2</xdr:row>
      <xdr:rowOff>4234</xdr:rowOff>
    </xdr:from>
    <xdr:to>
      <xdr:col>19</xdr:col>
      <xdr:colOff>15876</xdr:colOff>
      <xdr:row>21</xdr:row>
      <xdr:rowOff>59531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D700"/>
    <pageSetUpPr fitToPage="1"/>
  </sheetPr>
  <dimension ref="B1:G29"/>
  <sheetViews>
    <sheetView tabSelected="1"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4.5703125" style="3" customWidth="1"/>
    <col min="3" max="3" width="16.42578125" style="3" customWidth="1"/>
    <col min="4" max="4" width="15.28515625" style="3" customWidth="1"/>
    <col min="5" max="5" width="17.42578125" style="3" customWidth="1"/>
    <col min="6" max="6" width="16" style="3" customWidth="1"/>
    <col min="7" max="7" width="17.42578125" style="3" customWidth="1"/>
    <col min="8" max="8" width="6.28515625" style="3" customWidth="1"/>
    <col min="9" max="16384" width="9.140625" style="3"/>
  </cols>
  <sheetData>
    <row r="1" spans="2:7" ht="17.25" customHeight="1" x14ac:dyDescent="0.2">
      <c r="B1" s="1" t="s">
        <v>32</v>
      </c>
      <c r="C1" s="18"/>
      <c r="D1" s="18"/>
      <c r="E1" s="18"/>
      <c r="F1" s="18"/>
      <c r="G1" s="18"/>
    </row>
    <row r="2" spans="2:7" ht="58.5" x14ac:dyDescent="0.2">
      <c r="B2" s="55" t="s">
        <v>27</v>
      </c>
      <c r="C2" s="56" t="s">
        <v>122</v>
      </c>
      <c r="D2" s="57" t="s">
        <v>121</v>
      </c>
      <c r="E2" s="56" t="s">
        <v>76</v>
      </c>
      <c r="F2" s="57" t="s">
        <v>123</v>
      </c>
      <c r="G2" s="56" t="s">
        <v>26</v>
      </c>
    </row>
    <row r="3" spans="2:7" x14ac:dyDescent="0.2">
      <c r="B3" s="5" t="s">
        <v>0</v>
      </c>
      <c r="C3" s="6">
        <v>987</v>
      </c>
      <c r="D3" s="61">
        <v>967</v>
      </c>
      <c r="E3" s="6">
        <f>SUM(C3)-D3</f>
        <v>20</v>
      </c>
      <c r="F3" s="61">
        <v>1023</v>
      </c>
      <c r="G3" s="6">
        <f>SUM(C3)-F3</f>
        <v>-36</v>
      </c>
    </row>
    <row r="4" spans="2:7" x14ac:dyDescent="0.2">
      <c r="B4" s="5" t="s">
        <v>1</v>
      </c>
      <c r="C4" s="6">
        <v>3645</v>
      </c>
      <c r="D4" s="61">
        <v>3609</v>
      </c>
      <c r="E4" s="6">
        <f t="shared" ref="E4:E27" si="0">SUM(C4)-D4</f>
        <v>36</v>
      </c>
      <c r="F4" s="61">
        <v>3900</v>
      </c>
      <c r="G4" s="6">
        <f t="shared" ref="G4:G27" si="1">SUM(C4)-F4</f>
        <v>-255</v>
      </c>
    </row>
    <row r="5" spans="2:7" x14ac:dyDescent="0.2">
      <c r="B5" s="5" t="s">
        <v>2</v>
      </c>
      <c r="C5" s="6">
        <v>2368</v>
      </c>
      <c r="D5" s="61">
        <v>2328</v>
      </c>
      <c r="E5" s="6">
        <f t="shared" si="0"/>
        <v>40</v>
      </c>
      <c r="F5" s="61">
        <v>2371</v>
      </c>
      <c r="G5" s="6">
        <f t="shared" si="1"/>
        <v>-3</v>
      </c>
    </row>
    <row r="6" spans="2:7" x14ac:dyDescent="0.2">
      <c r="B6" s="5" t="s">
        <v>3</v>
      </c>
      <c r="C6" s="6">
        <v>4157</v>
      </c>
      <c r="D6" s="61">
        <v>4202</v>
      </c>
      <c r="E6" s="6">
        <f t="shared" si="0"/>
        <v>-45</v>
      </c>
      <c r="F6" s="61">
        <v>4635</v>
      </c>
      <c r="G6" s="6">
        <f t="shared" si="1"/>
        <v>-478</v>
      </c>
    </row>
    <row r="7" spans="2:7" x14ac:dyDescent="0.2">
      <c r="B7" s="5" t="s">
        <v>4</v>
      </c>
      <c r="C7" s="6">
        <v>4830</v>
      </c>
      <c r="D7" s="61">
        <v>4758</v>
      </c>
      <c r="E7" s="6">
        <f t="shared" si="0"/>
        <v>72</v>
      </c>
      <c r="F7" s="61">
        <v>4770</v>
      </c>
      <c r="G7" s="6">
        <f t="shared" si="1"/>
        <v>60</v>
      </c>
    </row>
    <row r="8" spans="2:7" x14ac:dyDescent="0.2">
      <c r="B8" s="5" t="s">
        <v>5</v>
      </c>
      <c r="C8" s="6">
        <v>1464</v>
      </c>
      <c r="D8" s="61">
        <v>1488</v>
      </c>
      <c r="E8" s="6">
        <f t="shared" si="0"/>
        <v>-24</v>
      </c>
      <c r="F8" s="61">
        <v>1526</v>
      </c>
      <c r="G8" s="6">
        <f t="shared" si="1"/>
        <v>-62</v>
      </c>
    </row>
    <row r="9" spans="2:7" x14ac:dyDescent="0.2">
      <c r="B9" s="9" t="s">
        <v>6</v>
      </c>
      <c r="C9" s="6">
        <v>2081</v>
      </c>
      <c r="D9" s="61">
        <v>2081</v>
      </c>
      <c r="E9" s="6">
        <f t="shared" si="0"/>
        <v>0</v>
      </c>
      <c r="F9" s="61">
        <v>1838</v>
      </c>
      <c r="G9" s="6">
        <f t="shared" si="1"/>
        <v>243</v>
      </c>
    </row>
    <row r="10" spans="2:7" x14ac:dyDescent="0.2">
      <c r="B10" s="5" t="s">
        <v>7</v>
      </c>
      <c r="C10" s="6">
        <v>1561</v>
      </c>
      <c r="D10" s="61">
        <v>1530</v>
      </c>
      <c r="E10" s="6">
        <f t="shared" si="0"/>
        <v>31</v>
      </c>
      <c r="F10" s="61">
        <v>1625</v>
      </c>
      <c r="G10" s="6">
        <f t="shared" si="1"/>
        <v>-64</v>
      </c>
    </row>
    <row r="11" spans="2:7" x14ac:dyDescent="0.2">
      <c r="B11" s="5" t="s">
        <v>8</v>
      </c>
      <c r="C11" s="6">
        <v>2921</v>
      </c>
      <c r="D11" s="61">
        <v>2889</v>
      </c>
      <c r="E11" s="6">
        <f t="shared" si="0"/>
        <v>32</v>
      </c>
      <c r="F11" s="61">
        <v>3124</v>
      </c>
      <c r="G11" s="6">
        <f t="shared" si="1"/>
        <v>-203</v>
      </c>
    </row>
    <row r="12" spans="2:7" x14ac:dyDescent="0.2">
      <c r="B12" s="5" t="s">
        <v>9</v>
      </c>
      <c r="C12" s="6">
        <v>1663</v>
      </c>
      <c r="D12" s="61">
        <v>1624</v>
      </c>
      <c r="E12" s="6">
        <f t="shared" si="0"/>
        <v>39</v>
      </c>
      <c r="F12" s="61">
        <v>1731</v>
      </c>
      <c r="G12" s="6">
        <f t="shared" si="1"/>
        <v>-68</v>
      </c>
    </row>
    <row r="13" spans="2:7" x14ac:dyDescent="0.2">
      <c r="B13" s="5" t="s">
        <v>10</v>
      </c>
      <c r="C13" s="6">
        <v>2364</v>
      </c>
      <c r="D13" s="61">
        <v>2406</v>
      </c>
      <c r="E13" s="6">
        <f t="shared" si="0"/>
        <v>-42</v>
      </c>
      <c r="F13" s="61">
        <v>2576</v>
      </c>
      <c r="G13" s="6">
        <f t="shared" si="1"/>
        <v>-212</v>
      </c>
    </row>
    <row r="14" spans="2:7" x14ac:dyDescent="0.2">
      <c r="B14" s="5" t="s">
        <v>11</v>
      </c>
      <c r="C14" s="6">
        <v>2921</v>
      </c>
      <c r="D14" s="61">
        <v>2920</v>
      </c>
      <c r="E14" s="6">
        <f t="shared" si="0"/>
        <v>1</v>
      </c>
      <c r="F14" s="61">
        <v>2559</v>
      </c>
      <c r="G14" s="6">
        <f t="shared" si="1"/>
        <v>362</v>
      </c>
    </row>
    <row r="15" spans="2:7" x14ac:dyDescent="0.2">
      <c r="B15" s="5" t="s">
        <v>12</v>
      </c>
      <c r="C15" s="6">
        <v>2943</v>
      </c>
      <c r="D15" s="61">
        <v>2969</v>
      </c>
      <c r="E15" s="6">
        <f t="shared" si="0"/>
        <v>-26</v>
      </c>
      <c r="F15" s="61">
        <v>3062</v>
      </c>
      <c r="G15" s="6">
        <f t="shared" si="1"/>
        <v>-119</v>
      </c>
    </row>
    <row r="16" spans="2:7" x14ac:dyDescent="0.2">
      <c r="B16" s="5" t="s">
        <v>13</v>
      </c>
      <c r="C16" s="6">
        <v>2823</v>
      </c>
      <c r="D16" s="61">
        <v>2762</v>
      </c>
      <c r="E16" s="6">
        <f t="shared" si="0"/>
        <v>61</v>
      </c>
      <c r="F16" s="61">
        <v>2864</v>
      </c>
      <c r="G16" s="6">
        <f t="shared" si="1"/>
        <v>-41</v>
      </c>
    </row>
    <row r="17" spans="2:7" x14ac:dyDescent="0.2">
      <c r="B17" s="5" t="s">
        <v>14</v>
      </c>
      <c r="C17" s="6">
        <v>3264</v>
      </c>
      <c r="D17" s="61">
        <v>3221</v>
      </c>
      <c r="E17" s="6">
        <f t="shared" si="0"/>
        <v>43</v>
      </c>
      <c r="F17" s="61">
        <v>3475</v>
      </c>
      <c r="G17" s="6">
        <f t="shared" si="1"/>
        <v>-211</v>
      </c>
    </row>
    <row r="18" spans="2:7" x14ac:dyDescent="0.2">
      <c r="B18" s="5" t="s">
        <v>15</v>
      </c>
      <c r="C18" s="6">
        <v>2537</v>
      </c>
      <c r="D18" s="61">
        <v>2559</v>
      </c>
      <c r="E18" s="6">
        <f t="shared" si="0"/>
        <v>-22</v>
      </c>
      <c r="F18" s="61">
        <v>2825</v>
      </c>
      <c r="G18" s="6">
        <f t="shared" si="1"/>
        <v>-288</v>
      </c>
    </row>
    <row r="19" spans="2:7" x14ac:dyDescent="0.2">
      <c r="B19" s="5" t="s">
        <v>16</v>
      </c>
      <c r="C19" s="6">
        <v>4533</v>
      </c>
      <c r="D19" s="61">
        <v>4485</v>
      </c>
      <c r="E19" s="6">
        <f t="shared" si="0"/>
        <v>48</v>
      </c>
      <c r="F19" s="61">
        <v>4879</v>
      </c>
      <c r="G19" s="6">
        <f t="shared" si="1"/>
        <v>-346</v>
      </c>
    </row>
    <row r="20" spans="2:7" x14ac:dyDescent="0.2">
      <c r="B20" s="5" t="s">
        <v>17</v>
      </c>
      <c r="C20" s="6">
        <v>2680</v>
      </c>
      <c r="D20" s="61">
        <v>2631</v>
      </c>
      <c r="E20" s="6">
        <f t="shared" si="0"/>
        <v>49</v>
      </c>
      <c r="F20" s="61">
        <v>2576</v>
      </c>
      <c r="G20" s="6">
        <f t="shared" si="1"/>
        <v>104</v>
      </c>
    </row>
    <row r="21" spans="2:7" x14ac:dyDescent="0.2">
      <c r="B21" s="5" t="s">
        <v>18</v>
      </c>
      <c r="C21" s="6">
        <v>1898</v>
      </c>
      <c r="D21" s="61">
        <v>1845</v>
      </c>
      <c r="E21" s="6">
        <f t="shared" si="0"/>
        <v>53</v>
      </c>
      <c r="F21" s="61">
        <v>1858</v>
      </c>
      <c r="G21" s="6">
        <f t="shared" si="1"/>
        <v>40</v>
      </c>
    </row>
    <row r="22" spans="2:7" x14ac:dyDescent="0.2">
      <c r="B22" s="5" t="s">
        <v>19</v>
      </c>
      <c r="C22" s="6">
        <v>2938</v>
      </c>
      <c r="D22" s="61">
        <v>2986</v>
      </c>
      <c r="E22" s="6">
        <f t="shared" si="0"/>
        <v>-48</v>
      </c>
      <c r="F22" s="61">
        <v>3179</v>
      </c>
      <c r="G22" s="6">
        <f t="shared" si="1"/>
        <v>-241</v>
      </c>
    </row>
    <row r="23" spans="2:7" x14ac:dyDescent="0.2">
      <c r="B23" s="5" t="s">
        <v>20</v>
      </c>
      <c r="C23" s="6">
        <v>1251</v>
      </c>
      <c r="D23" s="61">
        <v>1248</v>
      </c>
      <c r="E23" s="6">
        <f t="shared" si="0"/>
        <v>3</v>
      </c>
      <c r="F23" s="61">
        <v>1259</v>
      </c>
      <c r="G23" s="6">
        <f t="shared" si="1"/>
        <v>-8</v>
      </c>
    </row>
    <row r="24" spans="2:7" x14ac:dyDescent="0.2">
      <c r="B24" s="5" t="s">
        <v>21</v>
      </c>
      <c r="C24" s="6">
        <v>765</v>
      </c>
      <c r="D24" s="61">
        <v>771</v>
      </c>
      <c r="E24" s="6">
        <f t="shared" si="0"/>
        <v>-6</v>
      </c>
      <c r="F24" s="61">
        <v>680</v>
      </c>
      <c r="G24" s="6">
        <f t="shared" si="1"/>
        <v>85</v>
      </c>
    </row>
    <row r="25" spans="2:7" x14ac:dyDescent="0.2">
      <c r="B25" s="5" t="s">
        <v>22</v>
      </c>
      <c r="C25" s="6">
        <v>2298</v>
      </c>
      <c r="D25" s="61">
        <v>2326</v>
      </c>
      <c r="E25" s="6">
        <f t="shared" si="0"/>
        <v>-28</v>
      </c>
      <c r="F25" s="61">
        <v>2414</v>
      </c>
      <c r="G25" s="6">
        <f t="shared" si="1"/>
        <v>-116</v>
      </c>
    </row>
    <row r="26" spans="2:7" x14ac:dyDescent="0.2">
      <c r="B26" s="5" t="s">
        <v>23</v>
      </c>
      <c r="C26" s="6">
        <v>5011</v>
      </c>
      <c r="D26" s="61">
        <v>5077</v>
      </c>
      <c r="E26" s="6">
        <f t="shared" si="0"/>
        <v>-66</v>
      </c>
      <c r="F26" s="61">
        <v>5585</v>
      </c>
      <c r="G26" s="6">
        <f t="shared" si="1"/>
        <v>-574</v>
      </c>
    </row>
    <row r="27" spans="2:7" x14ac:dyDescent="0.2">
      <c r="B27" s="5" t="s">
        <v>24</v>
      </c>
      <c r="C27" s="6">
        <v>1065</v>
      </c>
      <c r="D27" s="61">
        <v>1064</v>
      </c>
      <c r="E27" s="6">
        <f t="shared" si="0"/>
        <v>1</v>
      </c>
      <c r="F27" s="61">
        <v>1076</v>
      </c>
      <c r="G27" s="6">
        <f t="shared" si="1"/>
        <v>-11</v>
      </c>
    </row>
    <row r="28" spans="2:7" ht="15" x14ac:dyDescent="0.25">
      <c r="B28" s="58" t="s">
        <v>25</v>
      </c>
      <c r="C28" s="59">
        <f>SUM(C3:C27)</f>
        <v>64968</v>
      </c>
      <c r="D28" s="60">
        <f>SUM(D3:D27)</f>
        <v>64746</v>
      </c>
      <c r="E28" s="59">
        <f>SUM(C28)-D28</f>
        <v>222</v>
      </c>
      <c r="F28" s="60">
        <f>SUM(F3:F27)</f>
        <v>67410</v>
      </c>
      <c r="G28" s="59">
        <f>SUM(C28)-F28</f>
        <v>-2442</v>
      </c>
    </row>
    <row r="29" spans="2:7" x14ac:dyDescent="0.2">
      <c r="E29" s="19"/>
      <c r="F29" s="19"/>
      <c r="G29" s="19"/>
    </row>
  </sheetData>
  <printOptions horizontalCentered="1" verticalCentered="1"/>
  <pageMargins left="0" right="0" top="0.31496062992125984" bottom="0.31496062992125984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EE9B"/>
    <pageSetUpPr fitToPage="1"/>
  </sheetPr>
  <dimension ref="A1:H25"/>
  <sheetViews>
    <sheetView zoomScale="80" zoomScaleNormal="80" workbookViewId="0">
      <selection activeCell="B1" sqref="B1"/>
    </sheetView>
  </sheetViews>
  <sheetFormatPr defaultRowHeight="14.25" x14ac:dyDescent="0.2"/>
  <cols>
    <col min="1" max="1" width="3.42578125" style="3" customWidth="1"/>
    <col min="2" max="2" width="6.7109375" style="3" customWidth="1"/>
    <col min="3" max="3" width="23.5703125" style="3" customWidth="1"/>
    <col min="4" max="5" width="14.85546875" style="3" customWidth="1"/>
    <col min="6" max="6" width="17" style="3" customWidth="1"/>
    <col min="7" max="7" width="15.140625" style="3" customWidth="1"/>
    <col min="8" max="8" width="17.7109375" style="3" customWidth="1"/>
    <col min="9" max="9" width="5.140625" style="3" customWidth="1"/>
    <col min="10" max="18" width="9.140625" style="3"/>
    <col min="19" max="19" width="6.140625" style="3" customWidth="1"/>
    <col min="20" max="20" width="3.140625" style="3" customWidth="1"/>
    <col min="21" max="16384" width="9.140625" style="3"/>
  </cols>
  <sheetData>
    <row r="1" spans="1:8" x14ac:dyDescent="0.2">
      <c r="B1" s="2" t="s">
        <v>31</v>
      </c>
    </row>
    <row r="2" spans="1:8" ht="15" x14ac:dyDescent="0.2">
      <c r="C2" s="20"/>
      <c r="D2" s="21"/>
    </row>
    <row r="3" spans="1:8" ht="57" x14ac:dyDescent="0.2">
      <c r="B3" s="62" t="s">
        <v>86</v>
      </c>
      <c r="C3" s="55" t="str">
        <f>T('2kob.'!B2)</f>
        <v>powiaty</v>
      </c>
      <c r="D3" s="55" t="str">
        <f>T('2kob.'!C2)</f>
        <v>liczba bezrobotnych kobiet stan na 31 X '23 r.</v>
      </c>
      <c r="E3" s="55" t="str">
        <f>T('2kob.'!D2)</f>
        <v>liczba bezrobotnych kobiet stan na 30 IX '23 r.</v>
      </c>
      <c r="F3" s="55" t="str">
        <f>T('2kob.'!E2)</f>
        <v>wzrost/spadek do poprzedniego  miesiąca</v>
      </c>
      <c r="G3" s="55" t="str">
        <f>T('2kob.'!F2)</f>
        <v>liczba bezrobotnych kobiet stan na 31 X '22 r.</v>
      </c>
      <c r="H3" s="55" t="str">
        <f>T('2kob.'!G2)</f>
        <v>wzrost/spadek do analogicznego okresu ubr.</v>
      </c>
    </row>
    <row r="4" spans="1:8" x14ac:dyDescent="0.2">
      <c r="A4" s="3">
        <v>1</v>
      </c>
      <c r="B4" s="6">
        <f>RANK('5bezr. na wsi'!C3,'5bezr. na wsi'!$C$3:'5bezr. na wsi'!$C$28,1)+COUNTIF('5bezr. na wsi'!$C$3:'5bezr. na wsi'!C3,'5bezr. na wsi'!C3)-1</f>
        <v>1</v>
      </c>
      <c r="C4" s="5" t="str">
        <f>INDEX('5bezr. na wsi'!B3:G28,MATCH(1,B4:B25,0),1)</f>
        <v>bieszczadzki</v>
      </c>
      <c r="D4" s="25">
        <f>INDEX('5bezr. na wsi'!B3:G28,MATCH(1,B4:B25,0),2)</f>
        <v>623</v>
      </c>
      <c r="E4" s="61">
        <f>INDEX('5bezr. na wsi'!B3:G28,MATCH(1,B4:B25,0),3)</f>
        <v>599</v>
      </c>
      <c r="F4" s="6">
        <f>INDEX('5bezr. na wsi'!B3:G28,MATCH(1,B4:B25,0),4)</f>
        <v>24</v>
      </c>
      <c r="G4" s="61">
        <f>INDEX('5bezr. na wsi'!B3:G28,MATCH(1,B4:B25,0),5)</f>
        <v>650</v>
      </c>
      <c r="H4" s="6">
        <f>INDEX('5bezr. na wsi'!B3:G28,MATCH(1,B4:B25,0),6)</f>
        <v>-27</v>
      </c>
    </row>
    <row r="5" spans="1:8" x14ac:dyDescent="0.2">
      <c r="A5" s="3">
        <v>2</v>
      </c>
      <c r="B5" s="6">
        <f>RANK('5bezr. na wsi'!C4,'5bezr. na wsi'!$C$3:'5bezr. na wsi'!$C$28,1)+COUNTIF('5bezr. na wsi'!$C$3:'5bezr. na wsi'!C4,'5bezr. na wsi'!C4)-1</f>
        <v>19</v>
      </c>
      <c r="C5" s="5" t="str">
        <f>INDEX('5bezr. na wsi'!B3:G28,MATCH(2,B4:B25,0),1)</f>
        <v>stalowowolski</v>
      </c>
      <c r="D5" s="6">
        <f>INDEX('5bezr. na wsi'!B3:G28,MATCH(2,B4:B25,0),2)</f>
        <v>746</v>
      </c>
      <c r="E5" s="61">
        <f>INDEX('5bezr. na wsi'!B3:G28,MATCH(2,B4:B25,0),3)</f>
        <v>714</v>
      </c>
      <c r="F5" s="6">
        <f>INDEX('5bezr. na wsi'!B3:G28,MATCH(2,B4:B25,0),4)</f>
        <v>32</v>
      </c>
      <c r="G5" s="61">
        <f>INDEX('5bezr. na wsi'!B3:G28,MATCH(2,B4:B25,0),5)</f>
        <v>721</v>
      </c>
      <c r="H5" s="6">
        <f>INDEX('5bezr. na wsi'!B3:G28,MATCH(2,B4:B25,0),6)</f>
        <v>25</v>
      </c>
    </row>
    <row r="6" spans="1:8" x14ac:dyDescent="0.2">
      <c r="A6" s="3">
        <v>3</v>
      </c>
      <c r="B6" s="6">
        <f>RANK('5bezr. na wsi'!C5,'5bezr. na wsi'!$C$3:'5bezr. na wsi'!$C$28,1)+COUNTIF('5bezr. na wsi'!$C$3:'5bezr. na wsi'!C5,'5bezr. na wsi'!C5)-1</f>
        <v>7</v>
      </c>
      <c r="C6" s="5" t="str">
        <f>INDEX('5bezr. na wsi'!B3:G28,MATCH(3,B4:B25,0),1)</f>
        <v xml:space="preserve">tarnobrzeski </v>
      </c>
      <c r="D6" s="6">
        <f>INDEX('5bezr. na wsi'!B3:G28,MATCH(3,B4:B25,0),2)</f>
        <v>1024</v>
      </c>
      <c r="E6" s="61">
        <f>INDEX('5bezr. na wsi'!B3:G28,MATCH(3,B4:B25,0),3)</f>
        <v>1010</v>
      </c>
      <c r="F6" s="6">
        <f>INDEX('5bezr. na wsi'!B3:G28,MATCH(3,B4:B25,0),4)</f>
        <v>14</v>
      </c>
      <c r="G6" s="61">
        <f>INDEX('5bezr. na wsi'!B3:G28,MATCH(3,B4:B25,0),5)</f>
        <v>1026</v>
      </c>
      <c r="H6" s="6">
        <f>INDEX('5bezr. na wsi'!B3:G28,MATCH(3,B4:B25,0),6)</f>
        <v>-2</v>
      </c>
    </row>
    <row r="7" spans="1:8" x14ac:dyDescent="0.2">
      <c r="A7" s="3">
        <v>4</v>
      </c>
      <c r="B7" s="6">
        <f>RANK('5bezr. na wsi'!C6,'5bezr. na wsi'!$C$3:'5bezr. na wsi'!$C$28,1)+COUNTIF('5bezr. na wsi'!$C$3:'5bezr. na wsi'!C6,'5bezr. na wsi'!C6)-1</f>
        <v>16</v>
      </c>
      <c r="C7" s="5" t="str">
        <f>INDEX('5bezr. na wsi'!B3:G28,MATCH(4,B4:B25,0),1)</f>
        <v>lubaczowski</v>
      </c>
      <c r="D7" s="6">
        <f>INDEX('5bezr. na wsi'!B3:G28,MATCH(4,B4:B25,0),2)</f>
        <v>1105</v>
      </c>
      <c r="E7" s="61">
        <f>INDEX('5bezr. na wsi'!B3:G28,MATCH(4,B4:B25,0),3)</f>
        <v>1068</v>
      </c>
      <c r="F7" s="6">
        <f>INDEX('5bezr. na wsi'!B3:G28,MATCH(4,B4:B25,0),4)</f>
        <v>37</v>
      </c>
      <c r="G7" s="61">
        <f>INDEX('5bezr. na wsi'!B3:G28,MATCH(4,B4:B25,0),5)</f>
        <v>1143</v>
      </c>
      <c r="H7" s="6">
        <f>INDEX('5bezr. na wsi'!B3:G28,MATCH(4,B4:B25,0),6)</f>
        <v>-38</v>
      </c>
    </row>
    <row r="8" spans="1:8" x14ac:dyDescent="0.2">
      <c r="A8" s="3">
        <v>5</v>
      </c>
      <c r="B8" s="6">
        <f>RANK('5bezr. na wsi'!C7,'5bezr. na wsi'!$C$3:'5bezr. na wsi'!$C$28,1)+COUNTIF('5bezr. na wsi'!$C$3:'5bezr. na wsi'!C7,'5bezr. na wsi'!C7)-1</f>
        <v>20</v>
      </c>
      <c r="C8" s="5" t="str">
        <f>INDEX('5bezr. na wsi'!B3:G28,MATCH(5,B4:B25,0),1)</f>
        <v>kolbuszowski</v>
      </c>
      <c r="D8" s="6">
        <f>INDEX('5bezr. na wsi'!B3:G28,MATCH(5,B4:B25,0),2)</f>
        <v>1288</v>
      </c>
      <c r="E8" s="61">
        <f>INDEX('5bezr. na wsi'!B3:G28,MATCH(5,B4:B25,0),3)</f>
        <v>1308</v>
      </c>
      <c r="F8" s="6">
        <f>INDEX('5bezr. na wsi'!B3:G28,MATCH(5,B4:B25,0),4)</f>
        <v>-20</v>
      </c>
      <c r="G8" s="61">
        <f>INDEX('5bezr. na wsi'!B3:G28,MATCH(5,B4:B25,0),5)</f>
        <v>1329</v>
      </c>
      <c r="H8" s="6">
        <f>INDEX('5bezr. na wsi'!B3:G28,MATCH(5,B4:B25,0),6)</f>
        <v>-41</v>
      </c>
    </row>
    <row r="9" spans="1:8" x14ac:dyDescent="0.2">
      <c r="A9" s="3">
        <v>6</v>
      </c>
      <c r="B9" s="6">
        <f>RANK('5bezr. na wsi'!C8,'5bezr. na wsi'!$C$3:'5bezr. na wsi'!$C$28,1)+COUNTIF('5bezr. na wsi'!$C$3:'5bezr. na wsi'!C8,'5bezr. na wsi'!C8)-1</f>
        <v>5</v>
      </c>
      <c r="C9" s="5" t="str">
        <f>INDEX('5bezr. na wsi'!B3:G28,MATCH(6,B4:B25,0),1)</f>
        <v>leski</v>
      </c>
      <c r="D9" s="6">
        <f>INDEX('5bezr. na wsi'!B3:G28,MATCH(6,B4:B25,0),2)</f>
        <v>1291</v>
      </c>
      <c r="E9" s="61">
        <f>INDEX('5bezr. na wsi'!B3:G28,MATCH(6,B4:B25,0),3)</f>
        <v>1256</v>
      </c>
      <c r="F9" s="6">
        <f>INDEX('5bezr. na wsi'!B3:G28,MATCH(6,B4:B25,0),4)</f>
        <v>35</v>
      </c>
      <c r="G9" s="61">
        <f>INDEX('5bezr. na wsi'!B3:G28,MATCH(6,B4:B25,0),5)</f>
        <v>1318</v>
      </c>
      <c r="H9" s="6">
        <f>INDEX('5bezr. na wsi'!B3:G28,MATCH(6,B4:B25,0),6)</f>
        <v>-27</v>
      </c>
    </row>
    <row r="10" spans="1:8" x14ac:dyDescent="0.2">
      <c r="A10" s="3">
        <v>7</v>
      </c>
      <c r="B10" s="6">
        <f>RANK('5bezr. na wsi'!C9,'5bezr. na wsi'!$C$3:'5bezr. na wsi'!$C$28,1)+COUNTIF('5bezr. na wsi'!$C$3:'5bezr. na wsi'!C9,'5bezr. na wsi'!C9)-1</f>
        <v>11</v>
      </c>
      <c r="C10" s="9" t="str">
        <f>INDEX('5bezr. na wsi'!B3:G28,MATCH(7,B4:B25,0),1)</f>
        <v>dębicki</v>
      </c>
      <c r="D10" s="6">
        <f>INDEX('5bezr. na wsi'!B3:G28,MATCH(7,B4:B25,0),2)</f>
        <v>1386</v>
      </c>
      <c r="E10" s="61">
        <f>INDEX('5bezr. na wsi'!B3:G28,MATCH(7,B4:B25,0),3)</f>
        <v>1369</v>
      </c>
      <c r="F10" s="6">
        <f>INDEX('5bezr. na wsi'!B3:G28,MATCH(7,B4:B25,0),4)</f>
        <v>17</v>
      </c>
      <c r="G10" s="61">
        <f>INDEX('5bezr. na wsi'!B3:G28,MATCH(7,B4:B25,0),5)</f>
        <v>1442</v>
      </c>
      <c r="H10" s="6">
        <f>INDEX('5bezr. na wsi'!B3:G28,MATCH(7,B4:B25,0),6)</f>
        <v>-56</v>
      </c>
    </row>
    <row r="11" spans="1:8" x14ac:dyDescent="0.2">
      <c r="A11" s="3">
        <v>8</v>
      </c>
      <c r="B11" s="6">
        <f>RANK('5bezr. na wsi'!C10,'5bezr. na wsi'!$C$3:'5bezr. na wsi'!$C$28,1)+COUNTIF('5bezr. na wsi'!$C$3:'5bezr. na wsi'!C10,'5bezr. na wsi'!C10)-1</f>
        <v>6</v>
      </c>
      <c r="C11" s="5" t="str">
        <f>INDEX('5bezr. na wsi'!B3:G28,MATCH(8,B4:B25,0),1)</f>
        <v>mielecki</v>
      </c>
      <c r="D11" s="6">
        <f>INDEX('5bezr. na wsi'!B3:G28,MATCH(8,B4:B25,0),2)</f>
        <v>1466</v>
      </c>
      <c r="E11" s="61">
        <f>INDEX('5bezr. na wsi'!B3:G28,MATCH(8,B4:B25,0),3)</f>
        <v>1455</v>
      </c>
      <c r="F11" s="6">
        <f>INDEX('5bezr. na wsi'!B3:G28,MATCH(8,B4:B25,0),4)</f>
        <v>11</v>
      </c>
      <c r="G11" s="61">
        <f>INDEX('5bezr. na wsi'!B3:G28,MATCH(8,B4:B25,0),5)</f>
        <v>1293</v>
      </c>
      <c r="H11" s="6">
        <f>INDEX('5bezr. na wsi'!B3:G28,MATCH(8,B4:B25,0),6)</f>
        <v>173</v>
      </c>
    </row>
    <row r="12" spans="1:8" x14ac:dyDescent="0.2">
      <c r="A12" s="3">
        <v>9</v>
      </c>
      <c r="B12" s="6">
        <f>RANK('5bezr. na wsi'!C11,'5bezr. na wsi'!$C$3:'5bezr. na wsi'!$C$28,1)+COUNTIF('5bezr. na wsi'!$C$3:'5bezr. na wsi'!C11,'5bezr. na wsi'!C11)-1</f>
        <v>14</v>
      </c>
      <c r="C12" s="5" t="str">
        <f>INDEX('5bezr. na wsi'!B3:G28,MATCH(9,B4:B25,0),1)</f>
        <v>sanocki</v>
      </c>
      <c r="D12" s="6">
        <f>INDEX('5bezr. na wsi'!B3:G28,MATCH(9,B4:B25,0),2)</f>
        <v>1556</v>
      </c>
      <c r="E12" s="61">
        <f>INDEX('5bezr. na wsi'!B3:G28,MATCH(9,B4:B25,0),3)</f>
        <v>1542</v>
      </c>
      <c r="F12" s="6">
        <f>INDEX('5bezr. na wsi'!B3:G28,MATCH(9,B4:B25,0),4)</f>
        <v>14</v>
      </c>
      <c r="G12" s="61">
        <f>INDEX('5bezr. na wsi'!B3:G28,MATCH(9,B4:B25,0),5)</f>
        <v>1475</v>
      </c>
      <c r="H12" s="6">
        <f>INDEX('5bezr. na wsi'!B3:G28,MATCH(9,B4:B25,0),6)</f>
        <v>81</v>
      </c>
    </row>
    <row r="13" spans="1:8" x14ac:dyDescent="0.2">
      <c r="A13" s="3">
        <v>10</v>
      </c>
      <c r="B13" s="6">
        <f>RANK('5bezr. na wsi'!C12,'5bezr. na wsi'!$C$3:'5bezr. na wsi'!$C$28,1)+COUNTIF('5bezr. na wsi'!$C$3:'5bezr. na wsi'!C12,'5bezr. na wsi'!C12)-1</f>
        <v>4</v>
      </c>
      <c r="C13" s="5" t="str">
        <f>INDEX('5bezr. na wsi'!B3:G28,MATCH(10,B4:B25,0),1)</f>
        <v>ropczycko-sędziszowski</v>
      </c>
      <c r="D13" s="6">
        <f>INDEX('5bezr. na wsi'!B3:G28,MATCH(10,B4:B25,0),2)</f>
        <v>1644</v>
      </c>
      <c r="E13" s="61">
        <f>INDEX('5bezr. na wsi'!B3:G28,MATCH(10,B4:B25,0),3)</f>
        <v>1658</v>
      </c>
      <c r="F13" s="6">
        <f>INDEX('5bezr. na wsi'!B3:G28,MATCH(10,B4:B25,0),4)</f>
        <v>-14</v>
      </c>
      <c r="G13" s="61">
        <f>INDEX('5bezr. na wsi'!B3:G28,MATCH(10,B4:B25,0),5)</f>
        <v>1825</v>
      </c>
      <c r="H13" s="6">
        <f>INDEX('5bezr. na wsi'!B3:G28,MATCH(10,B4:B25,0),6)</f>
        <v>-181</v>
      </c>
    </row>
    <row r="14" spans="1:8" x14ac:dyDescent="0.2">
      <c r="A14" s="3">
        <v>11</v>
      </c>
      <c r="B14" s="6">
        <f>RANK('5bezr. na wsi'!C13,'5bezr. na wsi'!$C$3:'5bezr. na wsi'!$C$28,1)+COUNTIF('5bezr. na wsi'!$C$3:'5bezr. na wsi'!C13,'5bezr. na wsi'!C13)-1</f>
        <v>12</v>
      </c>
      <c r="C14" s="5" t="str">
        <f>INDEX('5bezr. na wsi'!B3:G28,MATCH(11,B4:B25,0),1)</f>
        <v>krośnieński</v>
      </c>
      <c r="D14" s="6">
        <f>INDEX('5bezr. na wsi'!B3:G28,MATCH(11,B4:B25,0),2)</f>
        <v>1872</v>
      </c>
      <c r="E14" s="61">
        <f>INDEX('5bezr. na wsi'!B3:G28,MATCH(11,B4:B25,0),3)</f>
        <v>1859</v>
      </c>
      <c r="F14" s="6">
        <f>INDEX('5bezr. na wsi'!B3:G28,MATCH(11,B4:B25,0),4)</f>
        <v>13</v>
      </c>
      <c r="G14" s="61">
        <f>INDEX('5bezr. na wsi'!B3:G28,MATCH(11,B4:B25,0),5)</f>
        <v>1656</v>
      </c>
      <c r="H14" s="6">
        <f>INDEX('5bezr. na wsi'!B3:G28,MATCH(11,B4:B25,0),6)</f>
        <v>216</v>
      </c>
    </row>
    <row r="15" spans="1:8" x14ac:dyDescent="0.2">
      <c r="A15" s="3">
        <v>12</v>
      </c>
      <c r="B15" s="6">
        <f>RANK('5bezr. na wsi'!C14,'5bezr. na wsi'!$C$3:'5bezr. na wsi'!$C$28,1)+COUNTIF('5bezr. na wsi'!$C$3:'5bezr. na wsi'!C14,'5bezr. na wsi'!C14)-1</f>
        <v>8</v>
      </c>
      <c r="C15" s="5" t="str">
        <f>INDEX('5bezr. na wsi'!B3:G28,MATCH(12,B4:B25,0),1)</f>
        <v>łańcucki</v>
      </c>
      <c r="D15" s="6">
        <f>INDEX('5bezr. na wsi'!B3:G28,MATCH(12,B4:B25,0),2)</f>
        <v>1879</v>
      </c>
      <c r="E15" s="61">
        <f>INDEX('5bezr. na wsi'!B3:G28,MATCH(12,B4:B25,0),3)</f>
        <v>1902</v>
      </c>
      <c r="F15" s="6">
        <f>INDEX('5bezr. na wsi'!B3:G28,MATCH(12,B4:B25,0),4)</f>
        <v>-23</v>
      </c>
      <c r="G15" s="61">
        <f>INDEX('5bezr. na wsi'!B3:G28,MATCH(12,B4:B25,0),5)</f>
        <v>2025</v>
      </c>
      <c r="H15" s="6">
        <f>INDEX('5bezr. na wsi'!B3:G28,MATCH(12,B4:B25,0),6)</f>
        <v>-146</v>
      </c>
    </row>
    <row r="16" spans="1:8" x14ac:dyDescent="0.2">
      <c r="A16" s="3">
        <v>13</v>
      </c>
      <c r="B16" s="6">
        <f>RANK('5bezr. na wsi'!C15,'5bezr. na wsi'!$C$3:'5bezr. na wsi'!$C$28,1)+COUNTIF('5bezr. na wsi'!$C$3:'5bezr. na wsi'!C15,'5bezr. na wsi'!C15)-1</f>
        <v>13</v>
      </c>
      <c r="C16" s="5" t="str">
        <f>INDEX('5bezr. na wsi'!B3:G28,MATCH(13,B4:B25,0),1)</f>
        <v>niżański</v>
      </c>
      <c r="D16" s="6">
        <f>INDEX('5bezr. na wsi'!B3:G28,MATCH(13,B4:B25,0),2)</f>
        <v>1925</v>
      </c>
      <c r="E16" s="61">
        <f>INDEX('5bezr. na wsi'!B3:G28,MATCH(13,B4:B25,0),3)</f>
        <v>1927</v>
      </c>
      <c r="F16" s="6">
        <f>INDEX('5bezr. na wsi'!B3:G28,MATCH(13,B4:B25,0),4)</f>
        <v>-2</v>
      </c>
      <c r="G16" s="61">
        <f>INDEX('5bezr. na wsi'!B3:G28,MATCH(13,B4:B25,0),5)</f>
        <v>1987</v>
      </c>
      <c r="H16" s="6">
        <f>INDEX('5bezr. na wsi'!B3:G28,MATCH(13,B4:B25,0),6)</f>
        <v>-62</v>
      </c>
    </row>
    <row r="17" spans="1:8" x14ac:dyDescent="0.2">
      <c r="A17" s="3">
        <v>14</v>
      </c>
      <c r="B17" s="6">
        <f>RANK('5bezr. na wsi'!C16,'5bezr. na wsi'!$C$3:'5bezr. na wsi'!$C$28,1)+COUNTIF('5bezr. na wsi'!$C$3:'5bezr. na wsi'!C16,'5bezr. na wsi'!C16)-1</f>
        <v>18</v>
      </c>
      <c r="C17" s="5" t="str">
        <f>INDEX('5bezr. na wsi'!B3:G28,MATCH(14,B4:B25,0),1)</f>
        <v>leżajski</v>
      </c>
      <c r="D17" s="6">
        <f>INDEX('5bezr. na wsi'!B3:G28,MATCH(14,B4:B25,0),2)</f>
        <v>2216</v>
      </c>
      <c r="E17" s="61">
        <f>INDEX('5bezr. na wsi'!B3:G28,MATCH(14,B4:B25,0),3)</f>
        <v>2174</v>
      </c>
      <c r="F17" s="6">
        <f>INDEX('5bezr. na wsi'!B3:G28,MATCH(14,B4:B25,0),4)</f>
        <v>42</v>
      </c>
      <c r="G17" s="61">
        <f>INDEX('5bezr. na wsi'!B3:G28,MATCH(14,B4:B25,0),5)</f>
        <v>2362</v>
      </c>
      <c r="H17" s="6">
        <f>INDEX('5bezr. na wsi'!B3:G28,MATCH(14,B4:B25,0),6)</f>
        <v>-146</v>
      </c>
    </row>
    <row r="18" spans="1:8" x14ac:dyDescent="0.2">
      <c r="A18" s="3">
        <v>15</v>
      </c>
      <c r="B18" s="6">
        <f>RANK('5bezr. na wsi'!C17,'5bezr. na wsi'!$C$3:'5bezr. na wsi'!$C$28,1)+COUNTIF('5bezr. na wsi'!$C$3:'5bezr. na wsi'!C17,'5bezr. na wsi'!C17)-1</f>
        <v>15</v>
      </c>
      <c r="C18" s="5" t="str">
        <f>INDEX('5bezr. na wsi'!B3:G28,MATCH(15,B4:B25,0),1)</f>
        <v>przeworski</v>
      </c>
      <c r="D18" s="6">
        <f>INDEX('5bezr. na wsi'!B3:G28,MATCH(15,B4:B25,0),2)</f>
        <v>2491</v>
      </c>
      <c r="E18" s="61">
        <f>INDEX('5bezr. na wsi'!B3:G28,MATCH(15,B4:B25,0),3)</f>
        <v>2438</v>
      </c>
      <c r="F18" s="6">
        <f>INDEX('5bezr. na wsi'!B3:G28,MATCH(15,B4:B25,0),4)</f>
        <v>53</v>
      </c>
      <c r="G18" s="61">
        <f>INDEX('5bezr. na wsi'!B3:G28,MATCH(15,B4:B25,0),5)</f>
        <v>2655</v>
      </c>
      <c r="H18" s="6">
        <f>INDEX('5bezr. na wsi'!B3:G28,MATCH(15,B4:B25,0),6)</f>
        <v>-164</v>
      </c>
    </row>
    <row r="19" spans="1:8" x14ac:dyDescent="0.2">
      <c r="A19" s="3">
        <v>16</v>
      </c>
      <c r="B19" s="6">
        <f>RANK('5bezr. na wsi'!C18,'5bezr. na wsi'!$C$3:'5bezr. na wsi'!$C$28,1)+COUNTIF('5bezr. na wsi'!$C$3:'5bezr. na wsi'!C18,'5bezr. na wsi'!C18)-1</f>
        <v>10</v>
      </c>
      <c r="C19" s="5" t="str">
        <f>INDEX('5bezr. na wsi'!B3:G28,MATCH(16,B4:B25,0),1)</f>
        <v>jarosławski</v>
      </c>
      <c r="D19" s="6">
        <f>INDEX('5bezr. na wsi'!B3:G28,MATCH(16,B4:B25,0),2)</f>
        <v>2554</v>
      </c>
      <c r="E19" s="61">
        <f>INDEX('5bezr. na wsi'!B3:G28,MATCH(16,B4:B25,0),3)</f>
        <v>2582</v>
      </c>
      <c r="F19" s="6">
        <f>INDEX('5bezr. na wsi'!B3:G28,MATCH(16,B4:B25,0),4)</f>
        <v>-28</v>
      </c>
      <c r="G19" s="61">
        <f>INDEX('5bezr. na wsi'!B3:G28,MATCH(16,B4:B25,0),5)</f>
        <v>2875</v>
      </c>
      <c r="H19" s="6">
        <f>INDEX('5bezr. na wsi'!B3:G28,MATCH(16,B4:B25,0),6)</f>
        <v>-321</v>
      </c>
    </row>
    <row r="20" spans="1:8" x14ac:dyDescent="0.2">
      <c r="A20" s="3">
        <v>17</v>
      </c>
      <c r="B20" s="6">
        <f>RANK('5bezr. na wsi'!C19,'5bezr. na wsi'!$C$3:'5bezr. na wsi'!$C$28,1)+COUNTIF('5bezr. na wsi'!$C$3:'5bezr. na wsi'!C19,'5bezr. na wsi'!C19)-1</f>
        <v>21</v>
      </c>
      <c r="C20" s="5" t="str">
        <f>INDEX('5bezr. na wsi'!B3:G28,MATCH(17,B4:B25,0),1)</f>
        <v>strzyżowski</v>
      </c>
      <c r="D20" s="6">
        <f>INDEX('5bezr. na wsi'!B3:G28,MATCH(17,B4:B25,0),2)</f>
        <v>2629</v>
      </c>
      <c r="E20" s="61">
        <f>INDEX('5bezr. na wsi'!B3:G28,MATCH(17,B4:B25,0),3)</f>
        <v>2672</v>
      </c>
      <c r="F20" s="6">
        <f>INDEX('5bezr. na wsi'!B3:G28,MATCH(17,B4:B25,0),4)</f>
        <v>-43</v>
      </c>
      <c r="G20" s="61">
        <f>INDEX('5bezr. na wsi'!B3:G28,MATCH(17,B4:B25,0),5)</f>
        <v>2828</v>
      </c>
      <c r="H20" s="6">
        <f>INDEX('5bezr. na wsi'!B3:G28,MATCH(17,B4:B25,0),6)</f>
        <v>-199</v>
      </c>
    </row>
    <row r="21" spans="1:8" x14ac:dyDescent="0.2">
      <c r="A21" s="3">
        <v>18</v>
      </c>
      <c r="B21" s="6">
        <f>RANK('5bezr. na wsi'!C20,'5bezr. na wsi'!$C$3:'5bezr. na wsi'!$C$28,1)+COUNTIF('5bezr. na wsi'!$C$3:'5bezr. na wsi'!C20,'5bezr. na wsi'!C20)-1</f>
        <v>9</v>
      </c>
      <c r="C21" s="5" t="str">
        <f>INDEX('5bezr. na wsi'!B3:G28,MATCH(18,B4:B25,0),1)</f>
        <v>przemyski</v>
      </c>
      <c r="D21" s="6">
        <f>INDEX('5bezr. na wsi'!B3:G28,MATCH(18,B4:B25,0),2)</f>
        <v>2802</v>
      </c>
      <c r="E21" s="61">
        <f>INDEX('5bezr. na wsi'!B3:G28,MATCH(18,B4:B25,0),3)</f>
        <v>2742</v>
      </c>
      <c r="F21" s="6">
        <f>INDEX('5bezr. na wsi'!B3:G28,MATCH(18,B4:B25,0),4)</f>
        <v>60</v>
      </c>
      <c r="G21" s="61">
        <f>INDEX('5bezr. na wsi'!B3:G28,MATCH(18,B4:B25,0),5)</f>
        <v>2840</v>
      </c>
      <c r="H21" s="6">
        <f>INDEX('5bezr. na wsi'!B3:G28,MATCH(18,B4:B25,0),6)</f>
        <v>-38</v>
      </c>
    </row>
    <row r="22" spans="1:8" x14ac:dyDescent="0.2">
      <c r="A22" s="3">
        <v>19</v>
      </c>
      <c r="B22" s="6">
        <f>RANK('5bezr. na wsi'!C21,'5bezr. na wsi'!$C$3:'5bezr. na wsi'!$C$28,1)+COUNTIF('5bezr. na wsi'!$C$3:'5bezr. na wsi'!C21,'5bezr. na wsi'!C21)-1</f>
        <v>2</v>
      </c>
      <c r="C22" s="5" t="str">
        <f>INDEX('5bezr. na wsi'!B3:G28,MATCH(19,B4:B25,0),1)</f>
        <v>brzozowski</v>
      </c>
      <c r="D22" s="6">
        <f>INDEX('5bezr. na wsi'!B3:G28,MATCH(19,B4:B25,0),2)</f>
        <v>3352</v>
      </c>
      <c r="E22" s="61">
        <f>INDEX('5bezr. na wsi'!B3:G28,MATCH(19,B4:B25,0),3)</f>
        <v>3310</v>
      </c>
      <c r="F22" s="6">
        <f>INDEX('5bezr. na wsi'!B3:G28,MATCH(19,B4:B25,0),4)</f>
        <v>42</v>
      </c>
      <c r="G22" s="61">
        <f>INDEX('5bezr. na wsi'!B3:G28,MATCH(19,B4:B25,0),5)</f>
        <v>3578</v>
      </c>
      <c r="H22" s="6">
        <f>INDEX('5bezr. na wsi'!B3:G28,MATCH(19,B4:B25,0),6)</f>
        <v>-226</v>
      </c>
    </row>
    <row r="23" spans="1:8" x14ac:dyDescent="0.2">
      <c r="A23" s="3">
        <v>20</v>
      </c>
      <c r="B23" s="6">
        <f>RANK('5bezr. na wsi'!C22,'5bezr. na wsi'!$C$3:'5bezr. na wsi'!$C$28,1)+COUNTIF('5bezr. na wsi'!$C$3:'5bezr. na wsi'!C22,'5bezr. na wsi'!C22)-1</f>
        <v>17</v>
      </c>
      <c r="C23" s="5" t="str">
        <f>INDEX('5bezr. na wsi'!B3:G28,MATCH(20,B4:B25,0),1)</f>
        <v>jasielski</v>
      </c>
      <c r="D23" s="6">
        <f>INDEX('5bezr. na wsi'!B3:G28,MATCH(20,B4:B25,0),2)</f>
        <v>3427</v>
      </c>
      <c r="E23" s="61">
        <f>INDEX('5bezr. na wsi'!B3:G28,MATCH(20,B4:B25,0),3)</f>
        <v>3373</v>
      </c>
      <c r="F23" s="6">
        <f>INDEX('5bezr. na wsi'!B3:G28,MATCH(20,B4:B25,0),4)</f>
        <v>54</v>
      </c>
      <c r="G23" s="61">
        <f>INDEX('5bezr. na wsi'!B3:G28,MATCH(20,B4:B25,0),5)</f>
        <v>3362</v>
      </c>
      <c r="H23" s="6">
        <f>INDEX('5bezr. na wsi'!B3:G28,MATCH(20,B4:B25,0),6)</f>
        <v>65</v>
      </c>
    </row>
    <row r="24" spans="1:8" x14ac:dyDescent="0.2">
      <c r="A24" s="3">
        <v>21</v>
      </c>
      <c r="B24" s="6">
        <f>RANK('5bezr. na wsi'!C23,'5bezr. na wsi'!$C$3:'5bezr. na wsi'!$C$28,1)+COUNTIF('5bezr. na wsi'!$C$3:'5bezr. na wsi'!C23,'5bezr. na wsi'!C23)-1</f>
        <v>3</v>
      </c>
      <c r="C24" s="5" t="str">
        <f>INDEX('5bezr. na wsi'!B3:G28,MATCH(21,B4:B25,0),1)</f>
        <v>rzeszowski</v>
      </c>
      <c r="D24" s="6">
        <f>INDEX('5bezr. na wsi'!B3:G28,MATCH(21,B4:B25,0),2)</f>
        <v>3602</v>
      </c>
      <c r="E24" s="61">
        <f>INDEX('5bezr. na wsi'!B3:G28,MATCH(21,B4:B25,0),3)</f>
        <v>3553</v>
      </c>
      <c r="F24" s="6">
        <f>INDEX('5bezr. na wsi'!B3:G28,MATCH(21,B4:B25,0),4)</f>
        <v>49</v>
      </c>
      <c r="G24" s="61">
        <f>INDEX('5bezr. na wsi'!B3:G28,MATCH(21,B4:B25,0),5)</f>
        <v>3864</v>
      </c>
      <c r="H24" s="6">
        <f>INDEX('5bezr. na wsi'!B3:G28,MATCH(21,B4:B25,0),6)</f>
        <v>-262</v>
      </c>
    </row>
    <row r="25" spans="1:8" ht="15" x14ac:dyDescent="0.25">
      <c r="A25" s="3">
        <v>22</v>
      </c>
      <c r="B25" s="59">
        <f>RANK('5bezr. na wsi'!C24,'5bezr. na wsi'!$C$3:'5bezr. na wsi'!$C$28,1)+COUNTIF('5bezr. na wsi'!$C$3:'5bezr. na wsi'!C24,'5bezr. na wsi'!C24)-1</f>
        <v>22</v>
      </c>
      <c r="C25" s="76" t="str">
        <f>INDEX('5bezr. na wsi'!B3:G28,MATCH(22,B4:B25,0),1)</f>
        <v>województwo</v>
      </c>
      <c r="D25" s="59">
        <f>INDEX('5bezr. na wsi'!B3:G28,MATCH(22,B4:B25,0),2)</f>
        <v>40878</v>
      </c>
      <c r="E25" s="63">
        <f>INDEX('5bezr. na wsi'!B3:G28,MATCH(22,B4:B25,0),3)</f>
        <v>40511</v>
      </c>
      <c r="F25" s="59">
        <f>INDEX('5bezr. na wsi'!B3:G28,MATCH(22,B4:B25,0),4)</f>
        <v>367</v>
      </c>
      <c r="G25" s="63">
        <f>INDEX('5bezr. na wsi'!B3:G28,MATCH(22,B4:B25,0),5)</f>
        <v>42254</v>
      </c>
      <c r="H25" s="59">
        <f>INDEX('5bezr. na wsi'!B3:G28,MATCH(22,B4:B25,0),6)</f>
        <v>-1376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D700"/>
    <pageSetUpPr fitToPage="1"/>
  </sheetPr>
  <dimension ref="B1:H30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4.85546875" style="3" customWidth="1"/>
    <col min="3" max="3" width="19.140625" style="3" customWidth="1"/>
    <col min="4" max="4" width="18.7109375" style="3" customWidth="1"/>
    <col min="5" max="5" width="17.5703125" style="3" customWidth="1"/>
    <col min="6" max="6" width="19.28515625" style="3" customWidth="1"/>
    <col min="7" max="7" width="17.28515625" style="3" customWidth="1"/>
    <col min="8" max="16384" width="9.140625" style="3"/>
  </cols>
  <sheetData>
    <row r="1" spans="2:8" ht="19.5" customHeight="1" x14ac:dyDescent="0.2">
      <c r="B1" s="1" t="s">
        <v>78</v>
      </c>
      <c r="C1" s="42"/>
      <c r="D1" s="42"/>
      <c r="E1" s="42"/>
      <c r="F1" s="42"/>
      <c r="G1" s="42"/>
    </row>
    <row r="2" spans="2:8" ht="58.5" x14ac:dyDescent="0.2">
      <c r="B2" s="55" t="s">
        <v>27</v>
      </c>
      <c r="C2" s="56" t="s">
        <v>132</v>
      </c>
      <c r="D2" s="57" t="s">
        <v>131</v>
      </c>
      <c r="E2" s="56" t="s">
        <v>28</v>
      </c>
      <c r="F2" s="57" t="s">
        <v>133</v>
      </c>
      <c r="G2" s="56" t="s">
        <v>26</v>
      </c>
    </row>
    <row r="3" spans="2:8" x14ac:dyDescent="0.2">
      <c r="B3" s="5" t="s">
        <v>0</v>
      </c>
      <c r="C3" s="6">
        <v>590</v>
      </c>
      <c r="D3" s="61">
        <v>601</v>
      </c>
      <c r="E3" s="6">
        <f t="shared" ref="E3:E26" si="0">SUM(C3)-D3</f>
        <v>-11</v>
      </c>
      <c r="F3" s="61">
        <v>623</v>
      </c>
      <c r="G3" s="6">
        <f t="shared" ref="G3:G27" si="1">SUM(C3)-F3</f>
        <v>-33</v>
      </c>
      <c r="H3" s="7"/>
    </row>
    <row r="4" spans="2:8" x14ac:dyDescent="0.2">
      <c r="B4" s="5" t="s">
        <v>1</v>
      </c>
      <c r="C4" s="6">
        <v>2376</v>
      </c>
      <c r="D4" s="61">
        <v>2405</v>
      </c>
      <c r="E4" s="6">
        <f t="shared" si="0"/>
        <v>-29</v>
      </c>
      <c r="F4" s="61">
        <v>2568</v>
      </c>
      <c r="G4" s="6">
        <f t="shared" si="1"/>
        <v>-192</v>
      </c>
      <c r="H4" s="7"/>
    </row>
    <row r="5" spans="2:8" x14ac:dyDescent="0.2">
      <c r="B5" s="5" t="s">
        <v>2</v>
      </c>
      <c r="C5" s="6">
        <v>949</v>
      </c>
      <c r="D5" s="61">
        <v>960</v>
      </c>
      <c r="E5" s="6">
        <f t="shared" si="0"/>
        <v>-11</v>
      </c>
      <c r="F5" s="61">
        <v>1077</v>
      </c>
      <c r="G5" s="6">
        <f t="shared" si="1"/>
        <v>-128</v>
      </c>
      <c r="H5" s="7"/>
    </row>
    <row r="6" spans="2:8" x14ac:dyDescent="0.2">
      <c r="B6" s="5" t="s">
        <v>3</v>
      </c>
      <c r="C6" s="6">
        <v>2478</v>
      </c>
      <c r="D6" s="61">
        <v>2513</v>
      </c>
      <c r="E6" s="6">
        <f t="shared" si="0"/>
        <v>-35</v>
      </c>
      <c r="F6" s="61">
        <v>2851</v>
      </c>
      <c r="G6" s="6">
        <f t="shared" si="1"/>
        <v>-373</v>
      </c>
      <c r="H6" s="7"/>
    </row>
    <row r="7" spans="2:8" x14ac:dyDescent="0.2">
      <c r="B7" s="5" t="s">
        <v>4</v>
      </c>
      <c r="C7" s="6">
        <v>2979</v>
      </c>
      <c r="D7" s="61">
        <v>2930</v>
      </c>
      <c r="E7" s="6">
        <f t="shared" si="0"/>
        <v>49</v>
      </c>
      <c r="F7" s="61">
        <v>3060</v>
      </c>
      <c r="G7" s="6">
        <f t="shared" si="1"/>
        <v>-81</v>
      </c>
      <c r="H7" s="7"/>
    </row>
    <row r="8" spans="2:8" x14ac:dyDescent="0.2">
      <c r="B8" s="5" t="s">
        <v>5</v>
      </c>
      <c r="C8" s="6">
        <v>731</v>
      </c>
      <c r="D8" s="61">
        <v>731</v>
      </c>
      <c r="E8" s="6">
        <f t="shared" si="0"/>
        <v>0</v>
      </c>
      <c r="F8" s="61">
        <v>801</v>
      </c>
      <c r="G8" s="6">
        <f t="shared" si="1"/>
        <v>-70</v>
      </c>
      <c r="H8" s="7"/>
    </row>
    <row r="9" spans="2:8" x14ac:dyDescent="0.2">
      <c r="B9" s="9" t="s">
        <v>6</v>
      </c>
      <c r="C9" s="6">
        <v>914</v>
      </c>
      <c r="D9" s="61">
        <v>908</v>
      </c>
      <c r="E9" s="6">
        <f t="shared" si="0"/>
        <v>6</v>
      </c>
      <c r="F9" s="61">
        <v>921</v>
      </c>
      <c r="G9" s="6">
        <f t="shared" si="1"/>
        <v>-7</v>
      </c>
      <c r="H9" s="7"/>
    </row>
    <row r="10" spans="2:8" x14ac:dyDescent="0.2">
      <c r="B10" s="5" t="s">
        <v>7</v>
      </c>
      <c r="C10" s="6">
        <v>1034</v>
      </c>
      <c r="D10" s="61">
        <v>1011</v>
      </c>
      <c r="E10" s="6">
        <f t="shared" si="0"/>
        <v>23</v>
      </c>
      <c r="F10" s="61">
        <v>1031</v>
      </c>
      <c r="G10" s="6">
        <f t="shared" si="1"/>
        <v>3</v>
      </c>
      <c r="H10" s="7"/>
    </row>
    <row r="11" spans="2:8" x14ac:dyDescent="0.2">
      <c r="B11" s="5" t="s">
        <v>8</v>
      </c>
      <c r="C11" s="6">
        <v>1722</v>
      </c>
      <c r="D11" s="61">
        <v>1724</v>
      </c>
      <c r="E11" s="6">
        <f t="shared" si="0"/>
        <v>-2</v>
      </c>
      <c r="F11" s="61">
        <v>1953</v>
      </c>
      <c r="G11" s="6">
        <f t="shared" si="1"/>
        <v>-231</v>
      </c>
      <c r="H11" s="7"/>
    </row>
    <row r="12" spans="2:8" x14ac:dyDescent="0.2">
      <c r="B12" s="5" t="s">
        <v>9</v>
      </c>
      <c r="C12" s="6">
        <v>883</v>
      </c>
      <c r="D12" s="61">
        <v>846</v>
      </c>
      <c r="E12" s="6">
        <f t="shared" si="0"/>
        <v>37</v>
      </c>
      <c r="F12" s="61">
        <v>964</v>
      </c>
      <c r="G12" s="6">
        <f t="shared" si="1"/>
        <v>-81</v>
      </c>
      <c r="H12" s="7"/>
    </row>
    <row r="13" spans="2:8" x14ac:dyDescent="0.2">
      <c r="B13" s="5" t="s">
        <v>10</v>
      </c>
      <c r="C13" s="6">
        <v>1228</v>
      </c>
      <c r="D13" s="61">
        <v>1239</v>
      </c>
      <c r="E13" s="6">
        <f t="shared" si="0"/>
        <v>-11</v>
      </c>
      <c r="F13" s="61">
        <v>1407</v>
      </c>
      <c r="G13" s="6">
        <f t="shared" si="1"/>
        <v>-179</v>
      </c>
      <c r="H13" s="7"/>
    </row>
    <row r="14" spans="2:8" x14ac:dyDescent="0.2">
      <c r="B14" s="5" t="s">
        <v>11</v>
      </c>
      <c r="C14" s="6">
        <v>1285</v>
      </c>
      <c r="D14" s="61">
        <v>1269</v>
      </c>
      <c r="E14" s="6">
        <f t="shared" si="0"/>
        <v>16</v>
      </c>
      <c r="F14" s="61">
        <v>1244</v>
      </c>
      <c r="G14" s="6">
        <f t="shared" si="1"/>
        <v>41</v>
      </c>
      <c r="H14" s="7"/>
    </row>
    <row r="15" spans="2:8" x14ac:dyDescent="0.2">
      <c r="B15" s="5" t="s">
        <v>12</v>
      </c>
      <c r="C15" s="6">
        <v>1651</v>
      </c>
      <c r="D15" s="61">
        <v>1676</v>
      </c>
      <c r="E15" s="6">
        <f t="shared" si="0"/>
        <v>-25</v>
      </c>
      <c r="F15" s="61">
        <v>1786</v>
      </c>
      <c r="G15" s="6">
        <f t="shared" si="1"/>
        <v>-135</v>
      </c>
      <c r="H15" s="7"/>
    </row>
    <row r="16" spans="2:8" x14ac:dyDescent="0.2">
      <c r="B16" s="5" t="s">
        <v>13</v>
      </c>
      <c r="C16" s="6">
        <v>1710</v>
      </c>
      <c r="D16" s="61">
        <v>1699</v>
      </c>
      <c r="E16" s="6">
        <f t="shared" si="0"/>
        <v>11</v>
      </c>
      <c r="F16" s="61">
        <v>1818</v>
      </c>
      <c r="G16" s="6">
        <f t="shared" si="1"/>
        <v>-108</v>
      </c>
      <c r="H16" s="7"/>
    </row>
    <row r="17" spans="2:8" x14ac:dyDescent="0.2">
      <c r="B17" s="5" t="s">
        <v>14</v>
      </c>
      <c r="C17" s="6">
        <v>1993</v>
      </c>
      <c r="D17" s="61">
        <v>1962</v>
      </c>
      <c r="E17" s="6">
        <f t="shared" si="0"/>
        <v>31</v>
      </c>
      <c r="F17" s="61">
        <v>2180</v>
      </c>
      <c r="G17" s="6">
        <f t="shared" si="1"/>
        <v>-187</v>
      </c>
      <c r="H17" s="7"/>
    </row>
    <row r="18" spans="2:8" x14ac:dyDescent="0.2">
      <c r="B18" s="5" t="s">
        <v>15</v>
      </c>
      <c r="C18" s="6">
        <v>1336</v>
      </c>
      <c r="D18" s="61">
        <v>1343</v>
      </c>
      <c r="E18" s="6">
        <f t="shared" si="0"/>
        <v>-7</v>
      </c>
      <c r="F18" s="61">
        <v>1650</v>
      </c>
      <c r="G18" s="6">
        <f t="shared" si="1"/>
        <v>-314</v>
      </c>
      <c r="H18" s="7"/>
    </row>
    <row r="19" spans="2:8" x14ac:dyDescent="0.2">
      <c r="B19" s="5" t="s">
        <v>16</v>
      </c>
      <c r="C19" s="6">
        <v>2620</v>
      </c>
      <c r="D19" s="61">
        <v>2629</v>
      </c>
      <c r="E19" s="6">
        <f t="shared" si="0"/>
        <v>-9</v>
      </c>
      <c r="F19" s="61">
        <v>3040</v>
      </c>
      <c r="G19" s="6">
        <f t="shared" si="1"/>
        <v>-420</v>
      </c>
      <c r="H19" s="7"/>
    </row>
    <row r="20" spans="2:8" x14ac:dyDescent="0.2">
      <c r="B20" s="5" t="s">
        <v>17</v>
      </c>
      <c r="C20" s="6">
        <v>1347</v>
      </c>
      <c r="D20" s="61">
        <v>1333</v>
      </c>
      <c r="E20" s="6">
        <f t="shared" si="0"/>
        <v>14</v>
      </c>
      <c r="F20" s="61">
        <v>1280</v>
      </c>
      <c r="G20" s="6">
        <f t="shared" si="1"/>
        <v>67</v>
      </c>
      <c r="H20" s="7"/>
    </row>
    <row r="21" spans="2:8" x14ac:dyDescent="0.2">
      <c r="B21" s="5" t="s">
        <v>18</v>
      </c>
      <c r="C21" s="6">
        <v>745</v>
      </c>
      <c r="D21" s="61">
        <v>749</v>
      </c>
      <c r="E21" s="6">
        <f t="shared" si="0"/>
        <v>-4</v>
      </c>
      <c r="F21" s="61">
        <v>792</v>
      </c>
      <c r="G21" s="6">
        <f t="shared" si="1"/>
        <v>-47</v>
      </c>
      <c r="H21" s="7"/>
    </row>
    <row r="22" spans="2:8" x14ac:dyDescent="0.2">
      <c r="B22" s="5" t="s">
        <v>19</v>
      </c>
      <c r="C22" s="6">
        <v>1889</v>
      </c>
      <c r="D22" s="61">
        <v>1890</v>
      </c>
      <c r="E22" s="6">
        <f t="shared" si="0"/>
        <v>-1</v>
      </c>
      <c r="F22" s="61">
        <v>2071</v>
      </c>
      <c r="G22" s="6">
        <f t="shared" si="1"/>
        <v>-182</v>
      </c>
      <c r="H22" s="7"/>
    </row>
    <row r="23" spans="2:8" x14ac:dyDescent="0.2">
      <c r="B23" s="5" t="s">
        <v>20</v>
      </c>
      <c r="C23" s="6">
        <v>618</v>
      </c>
      <c r="D23" s="61">
        <v>611</v>
      </c>
      <c r="E23" s="6">
        <f t="shared" si="0"/>
        <v>7</v>
      </c>
      <c r="F23" s="61">
        <v>706</v>
      </c>
      <c r="G23" s="6">
        <f t="shared" si="1"/>
        <v>-88</v>
      </c>
      <c r="H23" s="7"/>
    </row>
    <row r="24" spans="2:8" x14ac:dyDescent="0.2">
      <c r="B24" s="5" t="s">
        <v>21</v>
      </c>
      <c r="C24" s="6">
        <v>291</v>
      </c>
      <c r="D24" s="61">
        <v>292</v>
      </c>
      <c r="E24" s="6">
        <f t="shared" si="0"/>
        <v>-1</v>
      </c>
      <c r="F24" s="61">
        <v>334</v>
      </c>
      <c r="G24" s="6">
        <f t="shared" si="1"/>
        <v>-43</v>
      </c>
      <c r="H24" s="7"/>
    </row>
    <row r="25" spans="2:8" x14ac:dyDescent="0.2">
      <c r="B25" s="5" t="s">
        <v>22</v>
      </c>
      <c r="C25" s="43">
        <v>1491</v>
      </c>
      <c r="D25" s="61">
        <v>1501</v>
      </c>
      <c r="E25" s="43">
        <f t="shared" si="0"/>
        <v>-10</v>
      </c>
      <c r="F25" s="61">
        <v>1605</v>
      </c>
      <c r="G25" s="6">
        <f t="shared" si="1"/>
        <v>-114</v>
      </c>
      <c r="H25" s="7"/>
    </row>
    <row r="26" spans="2:8" x14ac:dyDescent="0.2">
      <c r="B26" s="5" t="s">
        <v>23</v>
      </c>
      <c r="C26" s="43">
        <v>3081</v>
      </c>
      <c r="D26" s="61">
        <v>3089</v>
      </c>
      <c r="E26" s="43">
        <f t="shared" si="0"/>
        <v>-8</v>
      </c>
      <c r="F26" s="61">
        <v>3505</v>
      </c>
      <c r="G26" s="6">
        <f t="shared" si="1"/>
        <v>-424</v>
      </c>
      <c r="H26" s="7"/>
    </row>
    <row r="27" spans="2:8" x14ac:dyDescent="0.2">
      <c r="B27" s="5" t="s">
        <v>24</v>
      </c>
      <c r="C27" s="43">
        <v>534</v>
      </c>
      <c r="D27" s="61">
        <v>535</v>
      </c>
      <c r="E27" s="43">
        <f>SUM(C27)-D27</f>
        <v>-1</v>
      </c>
      <c r="F27" s="61">
        <v>618</v>
      </c>
      <c r="G27" s="6">
        <f t="shared" si="1"/>
        <v>-84</v>
      </c>
      <c r="H27" s="7"/>
    </row>
    <row r="28" spans="2:8" ht="15" x14ac:dyDescent="0.25">
      <c r="B28" s="58" t="s">
        <v>25</v>
      </c>
      <c r="C28" s="59">
        <f>SUM(C3:C27)</f>
        <v>36475</v>
      </c>
      <c r="D28" s="60">
        <f>SUM(D3:D27)</f>
        <v>36446</v>
      </c>
      <c r="E28" s="59">
        <f>SUM(E3:E27)</f>
        <v>29</v>
      </c>
      <c r="F28" s="60">
        <f>SUM(F3:F27)</f>
        <v>39885</v>
      </c>
      <c r="G28" s="59">
        <f>SUM(G3:G27)</f>
        <v>-3410</v>
      </c>
      <c r="H28" s="7"/>
    </row>
    <row r="29" spans="2:8" ht="15" x14ac:dyDescent="0.25">
      <c r="B29" s="3" t="s">
        <v>95</v>
      </c>
      <c r="E29" s="19"/>
      <c r="F29" s="7"/>
      <c r="G29" s="7"/>
    </row>
    <row r="30" spans="2:8" x14ac:dyDescent="0.2">
      <c r="B30" s="3" t="s">
        <v>96</v>
      </c>
    </row>
  </sheetData>
  <printOptions horizontalCentered="1" verticalCentered="1"/>
  <pageMargins left="0" right="0" top="0.59055118110236227" bottom="0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85546875" style="3" customWidth="1"/>
    <col min="2" max="2" width="7.28515625" style="3" customWidth="1"/>
    <col min="3" max="3" width="24.28515625" style="3" customWidth="1"/>
    <col min="4" max="4" width="14.7109375" style="3" customWidth="1"/>
    <col min="5" max="5" width="15" style="3" customWidth="1"/>
    <col min="6" max="6" width="16" style="3" customWidth="1"/>
    <col min="7" max="7" width="15.140625" style="3" customWidth="1"/>
    <col min="8" max="8" width="17.140625" style="3" customWidth="1"/>
    <col min="9" max="9" width="5.7109375" style="3" customWidth="1"/>
    <col min="10" max="10" width="6" style="3" customWidth="1"/>
    <col min="11" max="18" width="9.140625" style="3"/>
    <col min="19" max="19" width="8.140625" style="3" customWidth="1"/>
    <col min="20" max="20" width="4.85546875" style="3" customWidth="1"/>
    <col min="21" max="16384" width="9.140625" style="3"/>
  </cols>
  <sheetData>
    <row r="1" spans="2:8" x14ac:dyDescent="0.2">
      <c r="B1" s="2" t="s">
        <v>89</v>
      </c>
    </row>
    <row r="2" spans="2:8" ht="15" x14ac:dyDescent="0.2">
      <c r="C2" s="20"/>
      <c r="D2" s="21"/>
    </row>
    <row r="3" spans="2:8" ht="71.25" x14ac:dyDescent="0.2">
      <c r="B3" s="62" t="s">
        <v>86</v>
      </c>
      <c r="C3" s="55" t="str">
        <f>T('6długot.'!B2)</f>
        <v>powiaty</v>
      </c>
      <c r="D3" s="55" t="str">
        <f>T('6długot.'!C2)</f>
        <v>liczba bezrobotnych pow. 12 m-cy stan na 31 X '23 r.</v>
      </c>
      <c r="E3" s="55" t="str">
        <f>T('6długot.'!D2)</f>
        <v>liczba bezrobotnych pow. 12 m-cy stan na 30 IX '23 r.</v>
      </c>
      <c r="F3" s="55" t="str">
        <f>T('6długot.'!E2)</f>
        <v>wzrost/spadek do poprzedniego  miesiąca</v>
      </c>
      <c r="G3" s="55" t="str">
        <f>T('6długot.'!F2)</f>
        <v>liczba bezrobotnych pow. 12 m-cy,  stan na 31 X '22 r.</v>
      </c>
      <c r="H3" s="55" t="str">
        <f>T('6długot.'!G2)</f>
        <v>wzrost/spadek do analogicznego okresu ubr.</v>
      </c>
    </row>
    <row r="4" spans="2:8" x14ac:dyDescent="0.2">
      <c r="B4" s="6">
        <f>RANK('6długot.'!C3,'6długot.'!$C$3:'6długot.'!$C$28,1)+COUNTIF('6długot.'!$C$3:'6długot.'!C3,'6długot.'!C3)-1</f>
        <v>3</v>
      </c>
      <c r="C4" s="5" t="str">
        <f>INDEX('6długot.'!B3:G28,MATCH(1,B4:B29,0),1)</f>
        <v>Krosno</v>
      </c>
      <c r="D4" s="25">
        <f>INDEX('6długot.'!B3:G28,MATCH(1,B4:B29,0),2)</f>
        <v>291</v>
      </c>
      <c r="E4" s="61">
        <f>INDEX('6długot.'!B3:G28,MATCH(1,B4:B29,0),3)</f>
        <v>292</v>
      </c>
      <c r="F4" s="6">
        <f>INDEX('6długot.'!B3:G28,MATCH(1,B4:B29,0),4)</f>
        <v>-1</v>
      </c>
      <c r="G4" s="61">
        <f>INDEX('6długot.'!B3:G28,MATCH(1,B4:B29,0),5)</f>
        <v>334</v>
      </c>
      <c r="H4" s="6">
        <f>INDEX('6długot.'!B3:G28,MATCH(1,B4:B29,0),6)</f>
        <v>-43</v>
      </c>
    </row>
    <row r="5" spans="2:8" x14ac:dyDescent="0.2">
      <c r="B5" s="6">
        <f>RANK('6długot.'!C4,'6długot.'!$C$3:'6długot.'!$C$28,1)+COUNTIF('6długot.'!$C$3:'6długot.'!C4,'6długot.'!C4)-1</f>
        <v>21</v>
      </c>
      <c r="C5" s="5" t="str">
        <f>INDEX('6długot.'!B3:G28,MATCH(2,B4:B29,0),1)</f>
        <v>Tarnobrzeg</v>
      </c>
      <c r="D5" s="6">
        <f>INDEX('6długot.'!B3:G28,MATCH(2,B4:B29,0),2)</f>
        <v>534</v>
      </c>
      <c r="E5" s="61">
        <f>INDEX('6długot.'!B3:G28,MATCH(2,B4:B29,0),3)</f>
        <v>535</v>
      </c>
      <c r="F5" s="6">
        <f>INDEX('6długot.'!B3:G28,MATCH(2,B4:B29,0),4)</f>
        <v>-1</v>
      </c>
      <c r="G5" s="61">
        <f>INDEX('6długot.'!B3:G28,MATCH(2,B4:B29,0),5)</f>
        <v>618</v>
      </c>
      <c r="H5" s="6">
        <f>INDEX('6długot.'!B3:G28,MATCH(2,B4:B29,0),6)</f>
        <v>-84</v>
      </c>
    </row>
    <row r="6" spans="2:8" x14ac:dyDescent="0.2">
      <c r="B6" s="6">
        <f>RANK('6długot.'!C5,'6długot.'!$C$3:'6długot.'!$C$28,1)+COUNTIF('6długot.'!$C$3:'6długot.'!C5,'6długot.'!C5)-1</f>
        <v>9</v>
      </c>
      <c r="C6" s="5" t="str">
        <f>INDEX('6długot.'!B3:G28,MATCH(3,B4:B29,0),1)</f>
        <v>bieszczadzki</v>
      </c>
      <c r="D6" s="6">
        <f>INDEX('6długot.'!B3:G28,MATCH(3,B4:B29,0),2)</f>
        <v>590</v>
      </c>
      <c r="E6" s="61">
        <f>INDEX('6długot.'!B3:G28,MATCH(3,B4:B29,0),3)</f>
        <v>601</v>
      </c>
      <c r="F6" s="6">
        <f>INDEX('6długot.'!B3:G28,MATCH(3,B4:B29,0),4)</f>
        <v>-11</v>
      </c>
      <c r="G6" s="61">
        <f>INDEX('6długot.'!B3:G28,MATCH(3,B4:B29,0),5)</f>
        <v>623</v>
      </c>
      <c r="H6" s="6">
        <f>INDEX('6długot.'!B3:G28,MATCH(3,B4:B29,0),6)</f>
        <v>-33</v>
      </c>
    </row>
    <row r="7" spans="2:8" x14ac:dyDescent="0.2">
      <c r="B7" s="6">
        <f>RANK('6długot.'!C6,'6długot.'!$C$3:'6długot.'!$C$28,1)+COUNTIF('6długot.'!$C$3:'6długot.'!C6,'6długot.'!C6)-1</f>
        <v>22</v>
      </c>
      <c r="C7" s="5" t="str">
        <f>INDEX('6długot.'!B3:G28,MATCH(4,B4:B29,0),1)</f>
        <v xml:space="preserve">tarnobrzeski </v>
      </c>
      <c r="D7" s="6">
        <f>INDEX('6długot.'!B3:G28,MATCH(4,B4:B29,0),2)</f>
        <v>618</v>
      </c>
      <c r="E7" s="61">
        <f>INDEX('6długot.'!B3:G28,MATCH(4,B4:B29,0),3)</f>
        <v>611</v>
      </c>
      <c r="F7" s="6">
        <f>INDEX('6długot.'!B3:G28,MATCH(4,B4:B29,0),4)</f>
        <v>7</v>
      </c>
      <c r="G7" s="61">
        <f>INDEX('6długot.'!B3:G28,MATCH(4,B4:B29,0),5)</f>
        <v>706</v>
      </c>
      <c r="H7" s="6">
        <f>INDEX('6długot.'!B3:G28,MATCH(4,B4:B29,0),6)</f>
        <v>-88</v>
      </c>
    </row>
    <row r="8" spans="2:8" x14ac:dyDescent="0.2">
      <c r="B8" s="6">
        <f>RANK('6długot.'!C7,'6długot.'!$C$3:'6długot.'!$C$28,1)+COUNTIF('6długot.'!$C$3:'6długot.'!C7,'6długot.'!C7)-1</f>
        <v>24</v>
      </c>
      <c r="C8" s="5" t="str">
        <f>INDEX('6długot.'!B3:G28,MATCH(5,B4:B29,0),1)</f>
        <v>kolbuszowski</v>
      </c>
      <c r="D8" s="6">
        <f>INDEX('6długot.'!B3:G28,MATCH(5,B4:B29,0),2)</f>
        <v>731</v>
      </c>
      <c r="E8" s="61">
        <f>INDEX('6długot.'!B3:G28,MATCH(5,B4:B29,0),3)</f>
        <v>731</v>
      </c>
      <c r="F8" s="6">
        <f>INDEX('6długot.'!B3:G28,MATCH(5,B4:B29,0),4)</f>
        <v>0</v>
      </c>
      <c r="G8" s="61">
        <f>INDEX('6długot.'!B3:G28,MATCH(5,B4:B29,0),5)</f>
        <v>801</v>
      </c>
      <c r="H8" s="6">
        <f>INDEX('6długot.'!B3:G28,MATCH(5,B4:B29,0),6)</f>
        <v>-70</v>
      </c>
    </row>
    <row r="9" spans="2:8" x14ac:dyDescent="0.2">
      <c r="B9" s="6">
        <f>RANK('6długot.'!C8,'6długot.'!$C$3:'6długot.'!$C$28,1)+COUNTIF('6długot.'!$C$3:'6długot.'!C8,'6długot.'!C8)-1</f>
        <v>5</v>
      </c>
      <c r="C9" s="5" t="str">
        <f>INDEX('6długot.'!B3:G28,MATCH(6,B4:B29,0),1)</f>
        <v>stalowowolski</v>
      </c>
      <c r="D9" s="6">
        <f>INDEX('6długot.'!B3:G28,MATCH(6,B4:B29,0),2)</f>
        <v>745</v>
      </c>
      <c r="E9" s="61">
        <f>INDEX('6długot.'!B3:G28,MATCH(6,B4:B29,0),3)</f>
        <v>749</v>
      </c>
      <c r="F9" s="6">
        <f>INDEX('6długot.'!B3:G28,MATCH(6,B4:B29,0),4)</f>
        <v>-4</v>
      </c>
      <c r="G9" s="61">
        <f>INDEX('6długot.'!B3:G28,MATCH(6,B4:B29,0),5)</f>
        <v>792</v>
      </c>
      <c r="H9" s="6">
        <f>INDEX('6długot.'!B3:G28,MATCH(6,B4:B29,0),6)</f>
        <v>-47</v>
      </c>
    </row>
    <row r="10" spans="2:8" x14ac:dyDescent="0.2">
      <c r="B10" s="6">
        <f>RANK('6długot.'!C9,'6długot.'!$C$3:'6długot.'!$C$28,1)+COUNTIF('6długot.'!$C$3:'6długot.'!C9,'6długot.'!C9)-1</f>
        <v>8</v>
      </c>
      <c r="C10" s="9" t="str">
        <f>INDEX('6długot.'!B3:G28,MATCH(7,B4:B29,0),1)</f>
        <v>lubaczowski</v>
      </c>
      <c r="D10" s="6">
        <f>INDEX('6długot.'!B3:G28,MATCH(7,B4:B29,0),2)</f>
        <v>883</v>
      </c>
      <c r="E10" s="61">
        <f>INDEX('6długot.'!B3:G28,MATCH(7,B4:B29,0),3)</f>
        <v>846</v>
      </c>
      <c r="F10" s="6">
        <f>INDEX('6długot.'!B3:G28,MATCH(7,B4:B29,0),4)</f>
        <v>37</v>
      </c>
      <c r="G10" s="61">
        <f>INDEX('6długot.'!B3:G28,MATCH(7,B4:B29,0),5)</f>
        <v>964</v>
      </c>
      <c r="H10" s="6">
        <f>INDEX('6długot.'!B3:G28,MATCH(7,B4:B29,0),6)</f>
        <v>-81</v>
      </c>
    </row>
    <row r="11" spans="2:8" x14ac:dyDescent="0.2">
      <c r="B11" s="6">
        <f>RANK('6długot.'!C10,'6długot.'!$C$3:'6długot.'!$C$28,1)+COUNTIF('6długot.'!$C$3:'6długot.'!C10,'6długot.'!C10)-1</f>
        <v>10</v>
      </c>
      <c r="C11" s="5" t="str">
        <f>INDEX('6długot.'!B3:G28,MATCH(8,B4:B29,0),1)</f>
        <v>krośnieński</v>
      </c>
      <c r="D11" s="6">
        <f>INDEX('6długot.'!B3:G28,MATCH(8,B4:B29,0),2)</f>
        <v>914</v>
      </c>
      <c r="E11" s="61">
        <f>INDEX('6długot.'!B3:G28,MATCH(8,B4:B29,0),3)</f>
        <v>908</v>
      </c>
      <c r="F11" s="6">
        <f>INDEX('6długot.'!B3:G28,MATCH(8,B4:B29,0),4)</f>
        <v>6</v>
      </c>
      <c r="G11" s="61">
        <f>INDEX('6długot.'!B3:G28,MATCH(8,B4:B29,0),5)</f>
        <v>921</v>
      </c>
      <c r="H11" s="6">
        <f>INDEX('6długot.'!B3:G28,MATCH(8,B4:B29,0),6)</f>
        <v>-7</v>
      </c>
    </row>
    <row r="12" spans="2:8" x14ac:dyDescent="0.2">
      <c r="B12" s="6">
        <f>RANK('6długot.'!C11,'6długot.'!$C$3:'6długot.'!$C$28,1)+COUNTIF('6długot.'!$C$3:'6długot.'!C11,'6długot.'!C11)-1</f>
        <v>18</v>
      </c>
      <c r="C12" s="5" t="str">
        <f>INDEX('6długot.'!B3:G28,MATCH(9,B4:B29,0),1)</f>
        <v>dębicki</v>
      </c>
      <c r="D12" s="6">
        <f>INDEX('6długot.'!B3:G28,MATCH(9,B4:B29,0),2)</f>
        <v>949</v>
      </c>
      <c r="E12" s="61">
        <f>INDEX('6długot.'!B3:G28,MATCH(9,B4:B29,0),3)</f>
        <v>960</v>
      </c>
      <c r="F12" s="6">
        <f>INDEX('6długot.'!B3:G28,MATCH(9,B4:B29,0),4)</f>
        <v>-11</v>
      </c>
      <c r="G12" s="61">
        <f>INDEX('6długot.'!B3:G28,MATCH(9,B4:B29,0),5)</f>
        <v>1077</v>
      </c>
      <c r="H12" s="6">
        <f>INDEX('6długot.'!B3:G28,MATCH(9,B4:B29,0),6)</f>
        <v>-128</v>
      </c>
    </row>
    <row r="13" spans="2:8" x14ac:dyDescent="0.2">
      <c r="B13" s="6">
        <f>RANK('6długot.'!C12,'6długot.'!$C$3:'6długot.'!$C$28,1)+COUNTIF('6długot.'!$C$3:'6długot.'!C12,'6długot.'!C12)-1</f>
        <v>7</v>
      </c>
      <c r="C13" s="5" t="str">
        <f>INDEX('6długot.'!B3:G28,MATCH(10,B4:B29,0),1)</f>
        <v>leski</v>
      </c>
      <c r="D13" s="6">
        <f>INDEX('6długot.'!B3:G28,MATCH(10,B4:B29,0),2)</f>
        <v>1034</v>
      </c>
      <c r="E13" s="61">
        <f>INDEX('6długot.'!B3:G28,MATCH(10,B4:B29,0),3)</f>
        <v>1011</v>
      </c>
      <c r="F13" s="6">
        <f>INDEX('6długot.'!B3:G28,MATCH(10,B4:B29,0),4)</f>
        <v>23</v>
      </c>
      <c r="G13" s="61">
        <f>INDEX('6długot.'!B3:G28,MATCH(10,B4:B29,0),5)</f>
        <v>1031</v>
      </c>
      <c r="H13" s="6">
        <f>INDEX('6długot.'!B3:G28,MATCH(10,B4:B29,0),6)</f>
        <v>3</v>
      </c>
    </row>
    <row r="14" spans="2:8" x14ac:dyDescent="0.2">
      <c r="B14" s="6">
        <f>RANK('6długot.'!C13,'6długot.'!$C$3:'6długot.'!$C$28,1)+COUNTIF('6długot.'!$C$3:'6długot.'!C13,'6długot.'!C13)-1</f>
        <v>11</v>
      </c>
      <c r="C14" s="5" t="str">
        <f>INDEX('6długot.'!B3:G28,MATCH(11,B4:B29,0),1)</f>
        <v>łańcucki</v>
      </c>
      <c r="D14" s="6">
        <f>INDEX('6długot.'!B3:G28,MATCH(11,B4:B29,0),2)</f>
        <v>1228</v>
      </c>
      <c r="E14" s="61">
        <f>INDEX('6długot.'!B3:G28,MATCH(11,B4:B29,0),3)</f>
        <v>1239</v>
      </c>
      <c r="F14" s="6">
        <f>INDEX('6długot.'!B3:G28,MATCH(11,B4:B29,0),4)</f>
        <v>-11</v>
      </c>
      <c r="G14" s="61">
        <f>INDEX('6długot.'!B3:G28,MATCH(11,B4:B29,0),5)</f>
        <v>1407</v>
      </c>
      <c r="H14" s="6">
        <f>INDEX('6długot.'!B3:G28,MATCH(11,B4:B29,0),6)</f>
        <v>-179</v>
      </c>
    </row>
    <row r="15" spans="2:8" x14ac:dyDescent="0.2">
      <c r="B15" s="6">
        <f>RANK('6długot.'!C14,'6długot.'!$C$3:'6długot.'!$C$28,1)+COUNTIF('6długot.'!$C$3:'6długot.'!C14,'6długot.'!C14)-1</f>
        <v>12</v>
      </c>
      <c r="C15" s="5" t="str">
        <f>INDEX('6długot.'!B3:G28,MATCH(12,B4:B29,0),1)</f>
        <v>mielecki</v>
      </c>
      <c r="D15" s="6">
        <f>INDEX('6długot.'!B3:G28,MATCH(12,B4:B29,0),2)</f>
        <v>1285</v>
      </c>
      <c r="E15" s="61">
        <f>INDEX('6długot.'!B3:G28,MATCH(12,B4:B29,0),3)</f>
        <v>1269</v>
      </c>
      <c r="F15" s="6">
        <f>INDEX('6długot.'!B3:G28,MATCH(12,B4:B29,0),4)</f>
        <v>16</v>
      </c>
      <c r="G15" s="61">
        <f>INDEX('6długot.'!B3:G28,MATCH(12,B4:B29,0),5)</f>
        <v>1244</v>
      </c>
      <c r="H15" s="6">
        <f>INDEX('6długot.'!B3:G28,MATCH(12,B4:B29,0),6)</f>
        <v>41</v>
      </c>
    </row>
    <row r="16" spans="2:8" x14ac:dyDescent="0.2">
      <c r="B16" s="6">
        <f>RANK('6długot.'!C15,'6długot.'!$C$3:'6długot.'!$C$28,1)+COUNTIF('6długot.'!$C$3:'6długot.'!C15,'6długot.'!C15)-1</f>
        <v>16</v>
      </c>
      <c r="C16" s="5" t="str">
        <f>INDEX('6długot.'!B3:G28,MATCH(13,B4:B29,0),1)</f>
        <v>ropczycko-sędziszowski</v>
      </c>
      <c r="D16" s="6">
        <f>INDEX('6długot.'!B3:G28,MATCH(13,B4:B29,0),2)</f>
        <v>1336</v>
      </c>
      <c r="E16" s="61">
        <f>INDEX('6długot.'!B3:G28,MATCH(13,B4:B29,0),3)</f>
        <v>1343</v>
      </c>
      <c r="F16" s="6">
        <f>INDEX('6długot.'!B3:G28,MATCH(13,B4:B29,0),4)</f>
        <v>-7</v>
      </c>
      <c r="G16" s="61">
        <f>INDEX('6długot.'!B3:G28,MATCH(13,B4:B29,0),5)</f>
        <v>1650</v>
      </c>
      <c r="H16" s="6">
        <f>INDEX('6długot.'!B3:G28,MATCH(13,B4:B29,0),6)</f>
        <v>-314</v>
      </c>
    </row>
    <row r="17" spans="2:8" x14ac:dyDescent="0.2">
      <c r="B17" s="6">
        <f>RANK('6długot.'!C16,'6długot.'!$C$3:'6długot.'!$C$28,1)+COUNTIF('6długot.'!$C$3:'6długot.'!C16,'6długot.'!C16)-1</f>
        <v>17</v>
      </c>
      <c r="C17" s="5" t="str">
        <f>INDEX('6długot.'!B3:G28,MATCH(14,B4:B29,0),1)</f>
        <v>sanocki</v>
      </c>
      <c r="D17" s="6">
        <f>INDEX('6długot.'!B3:G28,MATCH(14,B4:B29,0),2)</f>
        <v>1347</v>
      </c>
      <c r="E17" s="61">
        <f>INDEX('6długot.'!B3:G28,MATCH(14,B4:B29,0),3)</f>
        <v>1333</v>
      </c>
      <c r="F17" s="6">
        <f>INDEX('6długot.'!B3:G28,MATCH(14,B4:B29,0),4)</f>
        <v>14</v>
      </c>
      <c r="G17" s="61">
        <f>INDEX('6długot.'!B3:G28,MATCH(14,B4:B29,0),5)</f>
        <v>1280</v>
      </c>
      <c r="H17" s="6">
        <f>INDEX('6długot.'!B3:G28,MATCH(14,B4:B29,0),6)</f>
        <v>67</v>
      </c>
    </row>
    <row r="18" spans="2:8" x14ac:dyDescent="0.2">
      <c r="B18" s="6">
        <f>RANK('6długot.'!C17,'6długot.'!$C$3:'6długot.'!$C$28,1)+COUNTIF('6długot.'!$C$3:'6długot.'!C17,'6długot.'!C17)-1</f>
        <v>20</v>
      </c>
      <c r="C18" s="5" t="str">
        <f>INDEX('6długot.'!B3:G28,MATCH(15,B4:B29,0),1)</f>
        <v>Przemyśl</v>
      </c>
      <c r="D18" s="6">
        <f>INDEX('6długot.'!B3:G28,MATCH(15,B4:B29,0),2)</f>
        <v>1491</v>
      </c>
      <c r="E18" s="61">
        <f>INDEX('6długot.'!B3:G28,MATCH(15,B4:B29,0),3)</f>
        <v>1501</v>
      </c>
      <c r="F18" s="6">
        <f>INDEX('6długot.'!B3:G28,MATCH(15,B4:B29,0),4)</f>
        <v>-10</v>
      </c>
      <c r="G18" s="61">
        <f>INDEX('6długot.'!B3:G28,MATCH(15,B4:B29,0),5)</f>
        <v>1605</v>
      </c>
      <c r="H18" s="6">
        <f>INDEX('6długot.'!B3:G28,MATCH(15,B4:B29,0),6)</f>
        <v>-114</v>
      </c>
    </row>
    <row r="19" spans="2:8" x14ac:dyDescent="0.2">
      <c r="B19" s="6">
        <f>RANK('6długot.'!C18,'6długot.'!$C$3:'6długot.'!$C$28,1)+COUNTIF('6długot.'!$C$3:'6długot.'!C18,'6długot.'!C18)-1</f>
        <v>13</v>
      </c>
      <c r="C19" s="5" t="str">
        <f>INDEX('6długot.'!B3:G28,MATCH(16,B4:B29,0),1)</f>
        <v>niżański</v>
      </c>
      <c r="D19" s="6">
        <f>INDEX('6długot.'!B3:G28,MATCH(16,B4:B29,0),2)</f>
        <v>1651</v>
      </c>
      <c r="E19" s="61">
        <f>INDEX('6długot.'!B3:G28,MATCH(16,B4:B29,0),3)</f>
        <v>1676</v>
      </c>
      <c r="F19" s="6">
        <f>INDEX('6długot.'!B3:G28,MATCH(16,B4:B29,0),4)</f>
        <v>-25</v>
      </c>
      <c r="G19" s="61">
        <f>INDEX('6długot.'!B3:G28,MATCH(16,B4:B29,0),5)</f>
        <v>1786</v>
      </c>
      <c r="H19" s="6">
        <f>INDEX('6długot.'!B3:G28,MATCH(16,B4:B29,0),6)</f>
        <v>-135</v>
      </c>
    </row>
    <row r="20" spans="2:8" x14ac:dyDescent="0.2">
      <c r="B20" s="6">
        <f>RANK('6długot.'!C19,'6długot.'!$C$3:'6długot.'!$C$28,1)+COUNTIF('6długot.'!$C$3:'6długot.'!C19,'6długot.'!C19)-1</f>
        <v>23</v>
      </c>
      <c r="C20" s="5" t="str">
        <f>INDEX('6długot.'!B3:G28,MATCH(17,B4:B29,0),1)</f>
        <v>przemyski</v>
      </c>
      <c r="D20" s="6">
        <f>INDEX('6długot.'!B3:G28,MATCH(17,B4:B29,0),2)</f>
        <v>1710</v>
      </c>
      <c r="E20" s="61">
        <f>INDEX('6długot.'!B3:G28,MATCH(17,B4:B29,0),3)</f>
        <v>1699</v>
      </c>
      <c r="F20" s="6">
        <f>INDEX('6długot.'!B3:G28,MATCH(17,B4:B29,0),4)</f>
        <v>11</v>
      </c>
      <c r="G20" s="61">
        <f>INDEX('6długot.'!B3:G28,MATCH(17,B4:B29,0),5)</f>
        <v>1818</v>
      </c>
      <c r="H20" s="6">
        <f>INDEX('6długot.'!B3:G28,MATCH(17,B4:B29,0),6)</f>
        <v>-108</v>
      </c>
    </row>
    <row r="21" spans="2:8" x14ac:dyDescent="0.2">
      <c r="B21" s="6">
        <f>RANK('6długot.'!C20,'6długot.'!$C$3:'6długot.'!$C$28,1)+COUNTIF('6długot.'!$C$3:'6długot.'!C20,'6długot.'!C20)-1</f>
        <v>14</v>
      </c>
      <c r="C21" s="5" t="str">
        <f>INDEX('6długot.'!B3:G28,MATCH(18,B4:B29,0),1)</f>
        <v>leżajski</v>
      </c>
      <c r="D21" s="6">
        <f>INDEX('6długot.'!B3:G28,MATCH(18,B4:B29,0),2)</f>
        <v>1722</v>
      </c>
      <c r="E21" s="61">
        <f>INDEX('6długot.'!B3:G28,MATCH(18,B4:B29,0),3)</f>
        <v>1724</v>
      </c>
      <c r="F21" s="6">
        <f>INDEX('6długot.'!B3:G28,MATCH(18,B4:B29,0),4)</f>
        <v>-2</v>
      </c>
      <c r="G21" s="61">
        <f>INDEX('6długot.'!B3:G28,MATCH(18,B4:B29,0),5)</f>
        <v>1953</v>
      </c>
      <c r="H21" s="6">
        <f>INDEX('6długot.'!B3:G28,MATCH(18,B4:B29,0),6)</f>
        <v>-231</v>
      </c>
    </row>
    <row r="22" spans="2:8" x14ac:dyDescent="0.2">
      <c r="B22" s="6">
        <f>RANK('6długot.'!C21,'6długot.'!$C$3:'6długot.'!$C$28,1)+COUNTIF('6długot.'!$C$3:'6długot.'!C21,'6długot.'!C21)-1</f>
        <v>6</v>
      </c>
      <c r="C22" s="5" t="str">
        <f>INDEX('6długot.'!B3:G28,MATCH(19,B4:B29,0),1)</f>
        <v>strzyżowski</v>
      </c>
      <c r="D22" s="6">
        <f>INDEX('6długot.'!B3:G28,MATCH(19,B4:B29,0),2)</f>
        <v>1889</v>
      </c>
      <c r="E22" s="61">
        <f>INDEX('6długot.'!B3:G28,MATCH(19,B4:B29,0),3)</f>
        <v>1890</v>
      </c>
      <c r="F22" s="6">
        <f>INDEX('6długot.'!B3:G28,MATCH(19,B4:B29,0),4)</f>
        <v>-1</v>
      </c>
      <c r="G22" s="61">
        <f>INDEX('6długot.'!B3:G28,MATCH(19,B4:B29,0),5)</f>
        <v>2071</v>
      </c>
      <c r="H22" s="6">
        <f>INDEX('6długot.'!B3:G28,MATCH(19,B4:B29,0),6)</f>
        <v>-182</v>
      </c>
    </row>
    <row r="23" spans="2:8" x14ac:dyDescent="0.2">
      <c r="B23" s="6">
        <f>RANK('6długot.'!C22,'6długot.'!$C$3:'6długot.'!$C$28,1)+COUNTIF('6długot.'!$C$3:'6długot.'!C22,'6długot.'!C22)-1</f>
        <v>19</v>
      </c>
      <c r="C23" s="5" t="str">
        <f>INDEX('6długot.'!B3:G28,MATCH(20,B4:B29,0),1)</f>
        <v>przeworski</v>
      </c>
      <c r="D23" s="6">
        <f>INDEX('6długot.'!B3:G28,MATCH(20,B4:B29,0),2)</f>
        <v>1993</v>
      </c>
      <c r="E23" s="61">
        <f>INDEX('6długot.'!B3:G28,MATCH(20,B4:B29,0),3)</f>
        <v>1962</v>
      </c>
      <c r="F23" s="6">
        <f>INDEX('6długot.'!B3:G28,MATCH(20,B4:B29,0),4)</f>
        <v>31</v>
      </c>
      <c r="G23" s="61">
        <f>INDEX('6długot.'!B3:G28,MATCH(20,B4:B29,0),5)</f>
        <v>2180</v>
      </c>
      <c r="H23" s="6">
        <f>INDEX('6długot.'!B3:G28,MATCH(20,B4:B29,0),6)</f>
        <v>-187</v>
      </c>
    </row>
    <row r="24" spans="2:8" x14ac:dyDescent="0.2">
      <c r="B24" s="6">
        <f>RANK('6długot.'!C23,'6długot.'!$C$3:'6długot.'!$C$28,1)+COUNTIF('6długot.'!$C$3:'6długot.'!C23,'6długot.'!C23)-1</f>
        <v>4</v>
      </c>
      <c r="C24" s="5" t="str">
        <f>INDEX('6długot.'!B3:G28,MATCH(21,B4:B29,0),1)</f>
        <v>brzozowski</v>
      </c>
      <c r="D24" s="6">
        <f>INDEX('6długot.'!B3:G28,MATCH(21,B4:B29,0),2)</f>
        <v>2376</v>
      </c>
      <c r="E24" s="61">
        <f>INDEX('6długot.'!B3:G28,MATCH(21,B4:B29,0),3)</f>
        <v>2405</v>
      </c>
      <c r="F24" s="6">
        <f>INDEX('6długot.'!B3:G28,MATCH(21,B4:B29,0),4)</f>
        <v>-29</v>
      </c>
      <c r="G24" s="61">
        <f>INDEX('6długot.'!B3:G28,MATCH(21,B4:B29,0),5)</f>
        <v>2568</v>
      </c>
      <c r="H24" s="6">
        <f>INDEX('6długot.'!B3:G28,MATCH(21,B4:B29,0),6)</f>
        <v>-192</v>
      </c>
    </row>
    <row r="25" spans="2:8" x14ac:dyDescent="0.2">
      <c r="B25" s="6">
        <f>RANK('6długot.'!C24,'6długot.'!$C$3:'6długot.'!$C$28,1)+COUNTIF('6długot.'!$C$3:'6długot.'!C24,'6długot.'!C24)-1</f>
        <v>1</v>
      </c>
      <c r="C25" s="5" t="str">
        <f>INDEX('6długot.'!B3:G28,MATCH(22,B4:B29,0),1)</f>
        <v>jarosławski</v>
      </c>
      <c r="D25" s="6">
        <f>INDEX('6długot.'!B3:G28,MATCH(22,B4:B29,0),2)</f>
        <v>2478</v>
      </c>
      <c r="E25" s="61">
        <f>INDEX('6długot.'!B3:G28,MATCH(22,B4:B29,0),3)</f>
        <v>2513</v>
      </c>
      <c r="F25" s="6">
        <f>INDEX('6długot.'!B3:G28,MATCH(22,B4:B29,0),4)</f>
        <v>-35</v>
      </c>
      <c r="G25" s="61">
        <f>INDEX('6długot.'!B3:G28,MATCH(22,B4:B29,0),5)</f>
        <v>2851</v>
      </c>
      <c r="H25" s="6">
        <f>INDEX('6długot.'!B3:G28,MATCH(22,B4:B29,0),6)</f>
        <v>-373</v>
      </c>
    </row>
    <row r="26" spans="2:8" x14ac:dyDescent="0.2">
      <c r="B26" s="6">
        <f>RANK('6długot.'!C25,'6długot.'!$C$3:'6długot.'!$C$28,1)+COUNTIF('6długot.'!$C$3:'6długot.'!C25,'6długot.'!C25)-1</f>
        <v>15</v>
      </c>
      <c r="C26" s="5" t="str">
        <f>INDEX('6długot.'!B3:G28,MATCH(23,B4:B29,0),1)</f>
        <v>rzeszowski</v>
      </c>
      <c r="D26" s="6">
        <f>INDEX('6długot.'!B3:G28,MATCH(23,B4:B29,0),2)</f>
        <v>2620</v>
      </c>
      <c r="E26" s="61">
        <f>INDEX('6długot.'!B3:G28,MATCH(23,B4:B29,0),3)</f>
        <v>2629</v>
      </c>
      <c r="F26" s="6">
        <f>INDEX('6długot.'!B3:G28,MATCH(23,B4:B29,0),4)</f>
        <v>-9</v>
      </c>
      <c r="G26" s="61">
        <f>INDEX('6długot.'!B3:G28,MATCH(23,B4:B29,0),5)</f>
        <v>3040</v>
      </c>
      <c r="H26" s="6">
        <f>INDEX('6długot.'!B3:G28,MATCH(23,B4:B29,0),6)</f>
        <v>-420</v>
      </c>
    </row>
    <row r="27" spans="2:8" x14ac:dyDescent="0.2">
      <c r="B27" s="6">
        <f>RANK('6długot.'!C26,'6długot.'!$C$3:'6długot.'!$C$28,1)+COUNTIF('6długot.'!$C$3:'6długot.'!C26,'6długot.'!C26)-1</f>
        <v>25</v>
      </c>
      <c r="C27" s="5" t="str">
        <f>INDEX('6długot.'!B3:G28,MATCH(24,B4:B29,0),1)</f>
        <v>jasielski</v>
      </c>
      <c r="D27" s="6">
        <f>INDEX('6długot.'!B3:G28,MATCH(24,B4:B29,0),2)</f>
        <v>2979</v>
      </c>
      <c r="E27" s="61">
        <f>INDEX('6długot.'!B3:G28,MATCH(24,B4:B29,0),3)</f>
        <v>2930</v>
      </c>
      <c r="F27" s="6">
        <f>INDEX('6długot.'!B3:G28,MATCH(24,B4:B29,0),4)</f>
        <v>49</v>
      </c>
      <c r="G27" s="61">
        <f>INDEX('6długot.'!B3:G28,MATCH(24,B4:B29,0),5)</f>
        <v>3060</v>
      </c>
      <c r="H27" s="6">
        <f>INDEX('6długot.'!B3:G28,MATCH(24,B4:B29,0),6)</f>
        <v>-81</v>
      </c>
    </row>
    <row r="28" spans="2:8" x14ac:dyDescent="0.2">
      <c r="B28" s="6">
        <f>RANK('6długot.'!C27,'6długot.'!$C$3:'6długot.'!$C$28,1)+COUNTIF('6długot.'!$C$3:'6długot.'!C27,'6długot.'!C27)-1</f>
        <v>2</v>
      </c>
      <c r="C28" s="5" t="str">
        <f>INDEX('6długot.'!B3:G28,MATCH(25,B4:B29,0),1)</f>
        <v>Rzeszów</v>
      </c>
      <c r="D28" s="6">
        <f>INDEX('6długot.'!B3:G28,MATCH(25,B4:B29,0),2)</f>
        <v>3081</v>
      </c>
      <c r="E28" s="61">
        <f>INDEX('6długot.'!B3:G28,MATCH(25,B4:B29,0),3)</f>
        <v>3089</v>
      </c>
      <c r="F28" s="6">
        <f>INDEX('6długot.'!B3:G28,MATCH(25,B4:B29,0),4)</f>
        <v>-8</v>
      </c>
      <c r="G28" s="61">
        <f>INDEX('6długot.'!B3:G28,MATCH(25,B4:B29,0),5)</f>
        <v>3505</v>
      </c>
      <c r="H28" s="6">
        <f>INDEX('6długot.'!B3:G28,MATCH(25,B4:B29,0),6)</f>
        <v>-424</v>
      </c>
    </row>
    <row r="29" spans="2:8" ht="15" x14ac:dyDescent="0.25">
      <c r="B29" s="59">
        <f>RANK('6długot.'!C28,'6długot.'!$C$3:'6długot.'!$C$28,1)+COUNTIF('6długot.'!$C$3:'6długot.'!C28,'6długot.'!C28)-1</f>
        <v>26</v>
      </c>
      <c r="C29" s="58" t="str">
        <f>INDEX('6długot.'!B3:G28,MATCH(26,B4:B29,0),1)</f>
        <v>województwo</v>
      </c>
      <c r="D29" s="59">
        <f>INDEX('6długot.'!B3:G28,MATCH(26,B4:B29,0),2)</f>
        <v>36475</v>
      </c>
      <c r="E29" s="63">
        <f>INDEX('6długot.'!B3:G28,MATCH(26,B4:B29,0),3)</f>
        <v>36446</v>
      </c>
      <c r="F29" s="59">
        <f>INDEX('6długot.'!B3:G28,MATCH(26,B4:B29,0),4)</f>
        <v>29</v>
      </c>
      <c r="G29" s="63">
        <f>INDEX('6długot.'!B3:G28,MATCH(26,B4:B29,0),5)</f>
        <v>39885</v>
      </c>
      <c r="H29" s="59">
        <f>INDEX('6długot.'!B3:G28,MATCH(26,B4:B29,0),6)</f>
        <v>-3410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C00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42578125" style="3" customWidth="1"/>
    <col min="2" max="2" width="25.5703125" style="3" customWidth="1"/>
    <col min="3" max="3" width="17.140625" style="3" customWidth="1"/>
    <col min="4" max="4" width="15.28515625" style="3" customWidth="1"/>
    <col min="5" max="5" width="16.28515625" style="3" customWidth="1"/>
    <col min="6" max="6" width="16.140625" style="3" customWidth="1"/>
    <col min="7" max="7" width="17.85546875" style="3" customWidth="1"/>
    <col min="8" max="16384" width="9.140625" style="3"/>
  </cols>
  <sheetData>
    <row r="1" spans="2:8" ht="20.25" customHeight="1" x14ac:dyDescent="0.2">
      <c r="B1" s="1" t="s">
        <v>94</v>
      </c>
      <c r="C1" s="44"/>
      <c r="D1" s="44"/>
      <c r="E1" s="44"/>
      <c r="F1" s="44"/>
      <c r="G1" s="44"/>
    </row>
    <row r="2" spans="2:8" ht="57.75" x14ac:dyDescent="0.2">
      <c r="B2" s="55" t="s">
        <v>27</v>
      </c>
      <c r="C2" s="56" t="s">
        <v>135</v>
      </c>
      <c r="D2" s="57" t="s">
        <v>134</v>
      </c>
      <c r="E2" s="56" t="s">
        <v>28</v>
      </c>
      <c r="F2" s="57" t="s">
        <v>136</v>
      </c>
      <c r="G2" s="56" t="s">
        <v>26</v>
      </c>
    </row>
    <row r="3" spans="2:8" x14ac:dyDescent="0.2">
      <c r="B3" s="5" t="s">
        <v>0</v>
      </c>
      <c r="C3" s="45">
        <v>271</v>
      </c>
      <c r="D3" s="61">
        <v>255</v>
      </c>
      <c r="E3" s="45">
        <f t="shared" ref="E3:E27" si="0">SUM(C3)-D3</f>
        <v>16</v>
      </c>
      <c r="F3" s="61">
        <v>285</v>
      </c>
      <c r="G3" s="45">
        <f t="shared" ref="G3:G27" si="1">SUM(C3)-F3</f>
        <v>-14</v>
      </c>
      <c r="H3" s="7"/>
    </row>
    <row r="4" spans="2:8" x14ac:dyDescent="0.2">
      <c r="B4" s="5" t="s">
        <v>1</v>
      </c>
      <c r="C4" s="45">
        <v>988</v>
      </c>
      <c r="D4" s="61">
        <v>956</v>
      </c>
      <c r="E4" s="45">
        <f t="shared" si="0"/>
        <v>32</v>
      </c>
      <c r="F4" s="61">
        <v>996</v>
      </c>
      <c r="G4" s="45">
        <f t="shared" si="1"/>
        <v>-8</v>
      </c>
      <c r="H4" s="7"/>
    </row>
    <row r="5" spans="2:8" x14ac:dyDescent="0.2">
      <c r="B5" s="5" t="s">
        <v>2</v>
      </c>
      <c r="C5" s="45">
        <v>708</v>
      </c>
      <c r="D5" s="61">
        <v>696</v>
      </c>
      <c r="E5" s="45">
        <f t="shared" si="0"/>
        <v>12</v>
      </c>
      <c r="F5" s="61">
        <v>725</v>
      </c>
      <c r="G5" s="45">
        <f t="shared" si="1"/>
        <v>-17</v>
      </c>
      <c r="H5" s="7"/>
    </row>
    <row r="6" spans="2:8" x14ac:dyDescent="0.2">
      <c r="B6" s="5" t="s">
        <v>3</v>
      </c>
      <c r="C6" s="45">
        <v>1077</v>
      </c>
      <c r="D6" s="61">
        <v>1089</v>
      </c>
      <c r="E6" s="45">
        <f t="shared" si="0"/>
        <v>-12</v>
      </c>
      <c r="F6" s="61">
        <v>1267</v>
      </c>
      <c r="G6" s="45">
        <f t="shared" si="1"/>
        <v>-190</v>
      </c>
      <c r="H6" s="7"/>
    </row>
    <row r="7" spans="2:8" x14ac:dyDescent="0.2">
      <c r="B7" s="5" t="s">
        <v>4</v>
      </c>
      <c r="C7" s="45">
        <v>1250</v>
      </c>
      <c r="D7" s="61">
        <v>1224</v>
      </c>
      <c r="E7" s="45">
        <f t="shared" si="0"/>
        <v>26</v>
      </c>
      <c r="F7" s="61">
        <v>1167</v>
      </c>
      <c r="G7" s="45">
        <f t="shared" si="1"/>
        <v>83</v>
      </c>
      <c r="H7" s="7"/>
    </row>
    <row r="8" spans="2:8" x14ac:dyDescent="0.2">
      <c r="B8" s="5" t="s">
        <v>5</v>
      </c>
      <c r="C8" s="45">
        <v>415</v>
      </c>
      <c r="D8" s="61">
        <v>438</v>
      </c>
      <c r="E8" s="45">
        <f t="shared" si="0"/>
        <v>-23</v>
      </c>
      <c r="F8" s="61">
        <v>419</v>
      </c>
      <c r="G8" s="45">
        <f t="shared" si="1"/>
        <v>-4</v>
      </c>
      <c r="H8" s="7"/>
    </row>
    <row r="9" spans="2:8" x14ac:dyDescent="0.2">
      <c r="B9" s="9" t="s">
        <v>6</v>
      </c>
      <c r="C9" s="45">
        <v>571</v>
      </c>
      <c r="D9" s="61">
        <v>569</v>
      </c>
      <c r="E9" s="45">
        <f t="shared" si="0"/>
        <v>2</v>
      </c>
      <c r="F9" s="61">
        <v>449</v>
      </c>
      <c r="G9" s="45">
        <f t="shared" si="1"/>
        <v>122</v>
      </c>
      <c r="H9" s="7"/>
    </row>
    <row r="10" spans="2:8" x14ac:dyDescent="0.2">
      <c r="B10" s="5" t="s">
        <v>7</v>
      </c>
      <c r="C10" s="45">
        <v>406</v>
      </c>
      <c r="D10" s="61">
        <v>400</v>
      </c>
      <c r="E10" s="45">
        <f t="shared" si="0"/>
        <v>6</v>
      </c>
      <c r="F10" s="61">
        <v>429</v>
      </c>
      <c r="G10" s="45">
        <f t="shared" si="1"/>
        <v>-23</v>
      </c>
      <c r="H10" s="7"/>
    </row>
    <row r="11" spans="2:8" x14ac:dyDescent="0.2">
      <c r="B11" s="5" t="s">
        <v>8</v>
      </c>
      <c r="C11" s="45">
        <v>850</v>
      </c>
      <c r="D11" s="61">
        <v>833</v>
      </c>
      <c r="E11" s="45">
        <f t="shared" si="0"/>
        <v>17</v>
      </c>
      <c r="F11" s="61">
        <v>923</v>
      </c>
      <c r="G11" s="45">
        <f t="shared" si="1"/>
        <v>-73</v>
      </c>
      <c r="H11" s="7"/>
    </row>
    <row r="12" spans="2:8" x14ac:dyDescent="0.2">
      <c r="B12" s="5" t="s">
        <v>9</v>
      </c>
      <c r="C12" s="45">
        <v>483</v>
      </c>
      <c r="D12" s="61">
        <v>454</v>
      </c>
      <c r="E12" s="45">
        <f t="shared" si="0"/>
        <v>29</v>
      </c>
      <c r="F12" s="61">
        <v>486</v>
      </c>
      <c r="G12" s="45">
        <f t="shared" si="1"/>
        <v>-3</v>
      </c>
      <c r="H12" s="7"/>
    </row>
    <row r="13" spans="2:8" x14ac:dyDescent="0.2">
      <c r="B13" s="5" t="s">
        <v>10</v>
      </c>
      <c r="C13" s="45">
        <v>673</v>
      </c>
      <c r="D13" s="61">
        <v>703</v>
      </c>
      <c r="E13" s="45">
        <f t="shared" si="0"/>
        <v>-30</v>
      </c>
      <c r="F13" s="61">
        <v>737</v>
      </c>
      <c r="G13" s="45">
        <f t="shared" si="1"/>
        <v>-64</v>
      </c>
      <c r="H13" s="7"/>
    </row>
    <row r="14" spans="2:8" x14ac:dyDescent="0.2">
      <c r="B14" s="5" t="s">
        <v>11</v>
      </c>
      <c r="C14" s="45">
        <v>786</v>
      </c>
      <c r="D14" s="61">
        <v>804</v>
      </c>
      <c r="E14" s="45">
        <f t="shared" si="0"/>
        <v>-18</v>
      </c>
      <c r="F14" s="61">
        <v>691</v>
      </c>
      <c r="G14" s="45">
        <f t="shared" si="1"/>
        <v>95</v>
      </c>
      <c r="H14" s="7"/>
    </row>
    <row r="15" spans="2:8" x14ac:dyDescent="0.2">
      <c r="B15" s="5" t="s">
        <v>12</v>
      </c>
      <c r="C15" s="45">
        <v>814</v>
      </c>
      <c r="D15" s="61">
        <v>805</v>
      </c>
      <c r="E15" s="45">
        <f t="shared" si="0"/>
        <v>9</v>
      </c>
      <c r="F15" s="61">
        <v>866</v>
      </c>
      <c r="G15" s="45">
        <f t="shared" si="1"/>
        <v>-52</v>
      </c>
      <c r="H15" s="7"/>
    </row>
    <row r="16" spans="2:8" x14ac:dyDescent="0.2">
      <c r="B16" s="5" t="s">
        <v>13</v>
      </c>
      <c r="C16" s="45">
        <v>779</v>
      </c>
      <c r="D16" s="61">
        <v>755</v>
      </c>
      <c r="E16" s="45">
        <f t="shared" si="0"/>
        <v>24</v>
      </c>
      <c r="F16" s="61">
        <v>777</v>
      </c>
      <c r="G16" s="45">
        <f t="shared" si="1"/>
        <v>2</v>
      </c>
      <c r="H16" s="7"/>
    </row>
    <row r="17" spans="2:8" x14ac:dyDescent="0.2">
      <c r="B17" s="5" t="s">
        <v>14</v>
      </c>
      <c r="C17" s="45">
        <v>907</v>
      </c>
      <c r="D17" s="61">
        <v>897</v>
      </c>
      <c r="E17" s="45">
        <f t="shared" si="0"/>
        <v>10</v>
      </c>
      <c r="F17" s="61">
        <v>999</v>
      </c>
      <c r="G17" s="45">
        <f t="shared" si="1"/>
        <v>-92</v>
      </c>
      <c r="H17" s="7"/>
    </row>
    <row r="18" spans="2:8" x14ac:dyDescent="0.2">
      <c r="B18" s="5" t="s">
        <v>15</v>
      </c>
      <c r="C18" s="45">
        <v>770</v>
      </c>
      <c r="D18" s="61">
        <v>792</v>
      </c>
      <c r="E18" s="45">
        <f t="shared" si="0"/>
        <v>-22</v>
      </c>
      <c r="F18" s="61">
        <v>847</v>
      </c>
      <c r="G18" s="45">
        <f t="shared" si="1"/>
        <v>-77</v>
      </c>
      <c r="H18" s="7"/>
    </row>
    <row r="19" spans="2:8" x14ac:dyDescent="0.2">
      <c r="B19" s="5" t="s">
        <v>16</v>
      </c>
      <c r="C19" s="45">
        <v>1219</v>
      </c>
      <c r="D19" s="61">
        <v>1195</v>
      </c>
      <c r="E19" s="45">
        <f t="shared" si="0"/>
        <v>24</v>
      </c>
      <c r="F19" s="61">
        <v>1339</v>
      </c>
      <c r="G19" s="45">
        <f t="shared" si="1"/>
        <v>-120</v>
      </c>
      <c r="H19" s="7"/>
    </row>
    <row r="20" spans="2:8" x14ac:dyDescent="0.2">
      <c r="B20" s="5" t="s">
        <v>17</v>
      </c>
      <c r="C20" s="45">
        <v>723</v>
      </c>
      <c r="D20" s="61">
        <v>693</v>
      </c>
      <c r="E20" s="45">
        <f t="shared" si="0"/>
        <v>30</v>
      </c>
      <c r="F20" s="61">
        <v>733</v>
      </c>
      <c r="G20" s="45">
        <f t="shared" si="1"/>
        <v>-10</v>
      </c>
      <c r="H20" s="7"/>
    </row>
    <row r="21" spans="2:8" x14ac:dyDescent="0.2">
      <c r="B21" s="5" t="s">
        <v>18</v>
      </c>
      <c r="C21" s="45">
        <v>536</v>
      </c>
      <c r="D21" s="61">
        <v>496</v>
      </c>
      <c r="E21" s="45">
        <f t="shared" si="0"/>
        <v>40</v>
      </c>
      <c r="F21" s="61">
        <v>509</v>
      </c>
      <c r="G21" s="45">
        <f t="shared" si="1"/>
        <v>27</v>
      </c>
      <c r="H21" s="7"/>
    </row>
    <row r="22" spans="2:8" x14ac:dyDescent="0.2">
      <c r="B22" s="5" t="s">
        <v>19</v>
      </c>
      <c r="C22" s="45">
        <v>819</v>
      </c>
      <c r="D22" s="61">
        <v>829</v>
      </c>
      <c r="E22" s="45">
        <f t="shared" si="0"/>
        <v>-10</v>
      </c>
      <c r="F22" s="61">
        <v>923</v>
      </c>
      <c r="G22" s="45">
        <f t="shared" si="1"/>
        <v>-104</v>
      </c>
      <c r="H22" s="7"/>
    </row>
    <row r="23" spans="2:8" x14ac:dyDescent="0.2">
      <c r="B23" s="5" t="s">
        <v>20</v>
      </c>
      <c r="C23" s="45">
        <v>322</v>
      </c>
      <c r="D23" s="61">
        <v>318</v>
      </c>
      <c r="E23" s="45">
        <f t="shared" si="0"/>
        <v>4</v>
      </c>
      <c r="F23" s="61">
        <v>338</v>
      </c>
      <c r="G23" s="45">
        <f t="shared" si="1"/>
        <v>-16</v>
      </c>
      <c r="H23" s="7"/>
    </row>
    <row r="24" spans="2:8" x14ac:dyDescent="0.2">
      <c r="B24" s="5" t="s">
        <v>21</v>
      </c>
      <c r="C24" s="45">
        <v>136</v>
      </c>
      <c r="D24" s="61">
        <v>148</v>
      </c>
      <c r="E24" s="45">
        <f t="shared" si="0"/>
        <v>-12</v>
      </c>
      <c r="F24" s="61">
        <v>119</v>
      </c>
      <c r="G24" s="45">
        <f t="shared" si="1"/>
        <v>17</v>
      </c>
      <c r="H24" s="7"/>
    </row>
    <row r="25" spans="2:8" x14ac:dyDescent="0.2">
      <c r="B25" s="5" t="s">
        <v>22</v>
      </c>
      <c r="C25" s="45">
        <v>408</v>
      </c>
      <c r="D25" s="61">
        <v>446</v>
      </c>
      <c r="E25" s="45">
        <f t="shared" si="0"/>
        <v>-38</v>
      </c>
      <c r="F25" s="61">
        <v>401</v>
      </c>
      <c r="G25" s="45">
        <f t="shared" si="1"/>
        <v>7</v>
      </c>
      <c r="H25" s="7"/>
    </row>
    <row r="26" spans="2:8" x14ac:dyDescent="0.2">
      <c r="B26" s="5" t="s">
        <v>23</v>
      </c>
      <c r="C26" s="45">
        <v>875</v>
      </c>
      <c r="D26" s="61">
        <v>941</v>
      </c>
      <c r="E26" s="45">
        <f t="shared" si="0"/>
        <v>-66</v>
      </c>
      <c r="F26" s="61">
        <v>1032</v>
      </c>
      <c r="G26" s="45">
        <f t="shared" si="1"/>
        <v>-157</v>
      </c>
      <c r="H26" s="7"/>
    </row>
    <row r="27" spans="2:8" x14ac:dyDescent="0.2">
      <c r="B27" s="5" t="s">
        <v>24</v>
      </c>
      <c r="C27" s="45">
        <v>228</v>
      </c>
      <c r="D27" s="61">
        <v>232</v>
      </c>
      <c r="E27" s="45">
        <f t="shared" si="0"/>
        <v>-4</v>
      </c>
      <c r="F27" s="61">
        <v>211</v>
      </c>
      <c r="G27" s="45">
        <f t="shared" si="1"/>
        <v>17</v>
      </c>
      <c r="H27" s="7"/>
    </row>
    <row r="28" spans="2:8" ht="15" x14ac:dyDescent="0.25">
      <c r="B28" s="58" t="s">
        <v>25</v>
      </c>
      <c r="C28" s="77">
        <f>SUM(C3:C27)</f>
        <v>17014</v>
      </c>
      <c r="D28" s="63">
        <f>SUM(D3:D27)</f>
        <v>16968</v>
      </c>
      <c r="E28" s="77">
        <f>SUM(E3:E27)</f>
        <v>46</v>
      </c>
      <c r="F28" s="63">
        <f>SUM(F3:F27)</f>
        <v>17668</v>
      </c>
      <c r="G28" s="77">
        <f>SUM(G3:G27)</f>
        <v>-654</v>
      </c>
      <c r="H28" s="7"/>
    </row>
    <row r="29" spans="2:8" x14ac:dyDescent="0.2">
      <c r="E29" s="19"/>
      <c r="F29" s="19"/>
      <c r="G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6.5703125" style="3" customWidth="1"/>
    <col min="3" max="3" width="23.85546875" style="3" customWidth="1"/>
    <col min="4" max="4" width="14" style="3" customWidth="1"/>
    <col min="5" max="5" width="13.5703125" style="3" customWidth="1"/>
    <col min="6" max="6" width="15.85546875" style="3" customWidth="1"/>
    <col min="7" max="7" width="14.28515625" style="3" customWidth="1"/>
    <col min="8" max="8" width="17.5703125" style="3" customWidth="1"/>
    <col min="9" max="9" width="5.5703125" style="3" customWidth="1"/>
    <col min="10" max="10" width="7.5703125" style="3" customWidth="1"/>
    <col min="11" max="18" width="9.140625" style="3"/>
    <col min="19" max="19" width="6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81</v>
      </c>
    </row>
    <row r="2" spans="2:8" ht="15" x14ac:dyDescent="0.2">
      <c r="C2" s="20"/>
      <c r="D2" s="21"/>
    </row>
    <row r="3" spans="2:8" ht="71.25" x14ac:dyDescent="0.2">
      <c r="B3" s="62" t="s">
        <v>86</v>
      </c>
      <c r="C3" s="55" t="str">
        <f>T('7do 30 r.ż.'!B2)</f>
        <v>powiaty</v>
      </c>
      <c r="D3" s="55" t="str">
        <f>T('7do 30 r.ż.'!C2)</f>
        <v>liczba bezrobotnych do 30 r. ż. stan na 31 X '23 r.</v>
      </c>
      <c r="E3" s="55" t="str">
        <f>T('7do 30 r.ż.'!D2)</f>
        <v>liczba bezrobotnych do 30 r. ż. stan na 30 IX '23 r.</v>
      </c>
      <c r="F3" s="55" t="str">
        <f>T('7do 30 r.ż.'!E2)</f>
        <v>wzrost/spadek do poprzedniego  miesiąca</v>
      </c>
      <c r="G3" s="55" t="str">
        <f>T('7do 30 r.ż.'!F2)</f>
        <v>liczba bezrobotnych do 30 r. ż. stan na 31 X '22 r.</v>
      </c>
      <c r="H3" s="55" t="str">
        <f>T('7do 30 r.ż.'!G2)</f>
        <v>wzrost/spadek do analogicznego okresu ubr.</v>
      </c>
    </row>
    <row r="4" spans="2:8" x14ac:dyDescent="0.2">
      <c r="B4" s="6">
        <f>RANK('7do 30 r.ż.'!C3,'7do 30 r.ż.'!$C$3:'7do 30 r.ż.'!$C$28,1)+COUNTIF('7do 30 r.ż.'!$C$3:'7do 30 r.ż.'!C3,'7do 30 r.ż.'!C3)-1</f>
        <v>3</v>
      </c>
      <c r="C4" s="5" t="str">
        <f>INDEX('7do 30 r.ż.'!B3:G28,MATCH(1,B4:B29,0),1)</f>
        <v>Krosno</v>
      </c>
      <c r="D4" s="25">
        <f>INDEX('7do 30 r.ż.'!B3:G28,MATCH(1,B4:B29,0),2)</f>
        <v>136</v>
      </c>
      <c r="E4" s="61">
        <f>INDEX('7do 30 r.ż.'!B3:G28,MATCH(1,B4:B29,0),3)</f>
        <v>148</v>
      </c>
      <c r="F4" s="6">
        <f>INDEX('7do 30 r.ż.'!B3:G28,MATCH(1,B4:B29,0),4)</f>
        <v>-12</v>
      </c>
      <c r="G4" s="61">
        <f>INDEX('7do 30 r.ż.'!B3:G28,MATCH(1,B4:B29,0),5)</f>
        <v>119</v>
      </c>
      <c r="H4" s="6">
        <f>INDEX('7do 30 r.ż.'!B3:G28,MATCH(1,B4:B29,0),6)</f>
        <v>17</v>
      </c>
    </row>
    <row r="5" spans="2:8" x14ac:dyDescent="0.2">
      <c r="B5" s="6">
        <f>RANK('7do 30 r.ż.'!C4,'7do 30 r.ż.'!$C$3:'7do 30 r.ż.'!$C$28,1)+COUNTIF('7do 30 r.ż.'!$C$3:'7do 30 r.ż.'!C4,'7do 30 r.ż.'!C4)-1</f>
        <v>22</v>
      </c>
      <c r="C5" s="5" t="str">
        <f>INDEX('7do 30 r.ż.'!B3:G28,MATCH(2,B4:B29,0),1)</f>
        <v>Tarnobrzeg</v>
      </c>
      <c r="D5" s="6">
        <f>INDEX('7do 30 r.ż.'!B3:G28,MATCH(2,B4:B29,0),2)</f>
        <v>228</v>
      </c>
      <c r="E5" s="61">
        <f>INDEX('7do 30 r.ż.'!B3:G28,MATCH(2,B4:B29,0),3)</f>
        <v>232</v>
      </c>
      <c r="F5" s="6">
        <f>INDEX('7do 30 r.ż.'!B3:G28,MATCH(2,B4:B29,0),4)</f>
        <v>-4</v>
      </c>
      <c r="G5" s="61">
        <f>INDEX('7do 30 r.ż.'!B3:G28,MATCH(2,B4:B29,0),5)</f>
        <v>211</v>
      </c>
      <c r="H5" s="6">
        <f>INDEX('7do 30 r.ż.'!B3:G28,MATCH(2,B4:B29,0),6)</f>
        <v>17</v>
      </c>
    </row>
    <row r="6" spans="2:8" x14ac:dyDescent="0.2">
      <c r="B6" s="6">
        <f>RANK('7do 30 r.ż.'!C5,'7do 30 r.ż.'!$C$3:'7do 30 r.ż.'!$C$28,1)+COUNTIF('7do 30 r.ż.'!$C$3:'7do 30 r.ż.'!C5,'7do 30 r.ż.'!C5)-1</f>
        <v>12</v>
      </c>
      <c r="C6" s="5" t="str">
        <f>INDEX('7do 30 r.ż.'!B3:G28,MATCH(3,B4:B29,0),1)</f>
        <v>bieszczadzki</v>
      </c>
      <c r="D6" s="6">
        <f>INDEX('7do 30 r.ż.'!B3:G28,MATCH(3,B4:B29,0),2)</f>
        <v>271</v>
      </c>
      <c r="E6" s="61">
        <f>INDEX('7do 30 r.ż.'!B3:G28,MATCH(3,B4:B29,0),3)</f>
        <v>255</v>
      </c>
      <c r="F6" s="6">
        <f>INDEX('7do 30 r.ż.'!B3:G28,MATCH(3,B4:B29,0),4)</f>
        <v>16</v>
      </c>
      <c r="G6" s="61">
        <f>INDEX('7do 30 r.ż.'!B3:G28,MATCH(3,B4:B29,0),5)</f>
        <v>285</v>
      </c>
      <c r="H6" s="6">
        <f>INDEX('7do 30 r.ż.'!B3:G28,MATCH(3,B4:B29,0),6)</f>
        <v>-14</v>
      </c>
    </row>
    <row r="7" spans="2:8" x14ac:dyDescent="0.2">
      <c r="B7" s="6">
        <f>RANK('7do 30 r.ż.'!C6,'7do 30 r.ż.'!$C$3:'7do 30 r.ż.'!$C$28,1)+COUNTIF('7do 30 r.ż.'!$C$3:'7do 30 r.ż.'!C6,'7do 30 r.ż.'!C6)-1</f>
        <v>23</v>
      </c>
      <c r="C7" s="5" t="str">
        <f>INDEX('7do 30 r.ż.'!B3:G28,MATCH(4,B4:B29,0),1)</f>
        <v xml:space="preserve">tarnobrzeski </v>
      </c>
      <c r="D7" s="6">
        <f>INDEX('7do 30 r.ż.'!B3:G28,MATCH(4,B4:B29,0),2)</f>
        <v>322</v>
      </c>
      <c r="E7" s="61">
        <f>INDEX('7do 30 r.ż.'!B3:G28,MATCH(4,B4:B29,0),3)</f>
        <v>318</v>
      </c>
      <c r="F7" s="6">
        <f>INDEX('7do 30 r.ż.'!B3:G28,MATCH(4,B4:B29,0),4)</f>
        <v>4</v>
      </c>
      <c r="G7" s="61">
        <f>INDEX('7do 30 r.ż.'!B3:G28,MATCH(4,B4:B29,0),5)</f>
        <v>338</v>
      </c>
      <c r="H7" s="6">
        <f>INDEX('7do 30 r.ż.'!B3:G28,MATCH(4,B4:B29,0),6)</f>
        <v>-16</v>
      </c>
    </row>
    <row r="8" spans="2:8" x14ac:dyDescent="0.2">
      <c r="B8" s="6">
        <f>RANK('7do 30 r.ż.'!C7,'7do 30 r.ż.'!$C$3:'7do 30 r.ż.'!$C$28,1)+COUNTIF('7do 30 r.ż.'!$C$3:'7do 30 r.ż.'!C7,'7do 30 r.ż.'!C7)-1</f>
        <v>25</v>
      </c>
      <c r="C8" s="5" t="str">
        <f>INDEX('7do 30 r.ż.'!B3:G28,MATCH(5,B4:B29,0),1)</f>
        <v>leski</v>
      </c>
      <c r="D8" s="6">
        <f>INDEX('7do 30 r.ż.'!B3:G28,MATCH(5,B4:B29,0),2)</f>
        <v>406</v>
      </c>
      <c r="E8" s="61">
        <f>INDEX('7do 30 r.ż.'!B3:G28,MATCH(5,B4:B29,0),3)</f>
        <v>400</v>
      </c>
      <c r="F8" s="6">
        <f>INDEX('7do 30 r.ż.'!B3:G28,MATCH(5,B4:B29,0),4)</f>
        <v>6</v>
      </c>
      <c r="G8" s="61">
        <f>INDEX('7do 30 r.ż.'!B3:G28,MATCH(5,B4:B29,0),5)</f>
        <v>429</v>
      </c>
      <c r="H8" s="6">
        <f>INDEX('7do 30 r.ż.'!B3:G28,MATCH(5,B4:B29,0),6)</f>
        <v>-23</v>
      </c>
    </row>
    <row r="9" spans="2:8" x14ac:dyDescent="0.2">
      <c r="B9" s="6">
        <f>RANK('7do 30 r.ż.'!C8,'7do 30 r.ż.'!$C$3:'7do 30 r.ż.'!$C$28,1)+COUNTIF('7do 30 r.ż.'!$C$3:'7do 30 r.ż.'!C8,'7do 30 r.ż.'!C8)-1</f>
        <v>7</v>
      </c>
      <c r="C9" s="5" t="str">
        <f>INDEX('7do 30 r.ż.'!B3:G28,MATCH(6,B4:B29,0),1)</f>
        <v>Przemyśl</v>
      </c>
      <c r="D9" s="6">
        <f>INDEX('7do 30 r.ż.'!B3:G28,MATCH(6,B4:B29,0),2)</f>
        <v>408</v>
      </c>
      <c r="E9" s="61">
        <f>INDEX('7do 30 r.ż.'!B3:G28,MATCH(6,B4:B29,0),3)</f>
        <v>446</v>
      </c>
      <c r="F9" s="6">
        <f>INDEX('7do 30 r.ż.'!B3:G28,MATCH(6,B4:B29,0),4)</f>
        <v>-38</v>
      </c>
      <c r="G9" s="61">
        <f>INDEX('7do 30 r.ż.'!B3:G28,MATCH(6,B4:B29,0),5)</f>
        <v>401</v>
      </c>
      <c r="H9" s="6">
        <f>INDEX('7do 30 r.ż.'!B3:G28,MATCH(6,B4:B29,0),6)</f>
        <v>7</v>
      </c>
    </row>
    <row r="10" spans="2:8" x14ac:dyDescent="0.2">
      <c r="B10" s="6">
        <f>RANK('7do 30 r.ż.'!C9,'7do 30 r.ż.'!$C$3:'7do 30 r.ż.'!$C$28,1)+COUNTIF('7do 30 r.ż.'!$C$3:'7do 30 r.ż.'!C9,'7do 30 r.ż.'!C9)-1</f>
        <v>10</v>
      </c>
      <c r="C10" s="9" t="str">
        <f>INDEX('7do 30 r.ż.'!B3:G28,MATCH(7,B4:B29,0),1)</f>
        <v>kolbuszowski</v>
      </c>
      <c r="D10" s="6">
        <f>INDEX('7do 30 r.ż.'!B3:G28,MATCH(7,B4:B29,0),2)</f>
        <v>415</v>
      </c>
      <c r="E10" s="61">
        <f>INDEX('7do 30 r.ż.'!B3:G28,MATCH(7,B4:B29,0),3)</f>
        <v>438</v>
      </c>
      <c r="F10" s="6">
        <f>INDEX('7do 30 r.ż.'!B3:G28,MATCH(7,B4:B29,0),4)</f>
        <v>-23</v>
      </c>
      <c r="G10" s="61">
        <f>INDEX('7do 30 r.ż.'!B3:G28,MATCH(7,B4:B29,0),5)</f>
        <v>419</v>
      </c>
      <c r="H10" s="6">
        <f>INDEX('7do 30 r.ż.'!B3:G28,MATCH(7,B4:B29,0),6)</f>
        <v>-4</v>
      </c>
    </row>
    <row r="11" spans="2:8" x14ac:dyDescent="0.2">
      <c r="B11" s="6">
        <f>RANK('7do 30 r.ż.'!C10,'7do 30 r.ż.'!$C$3:'7do 30 r.ż.'!$C$28,1)+COUNTIF('7do 30 r.ż.'!$C$3:'7do 30 r.ż.'!C10,'7do 30 r.ż.'!C10)-1</f>
        <v>5</v>
      </c>
      <c r="C11" s="5" t="str">
        <f>INDEX('7do 30 r.ż.'!B3:G28,MATCH(8,B4:B29,0),1)</f>
        <v>lubaczowski</v>
      </c>
      <c r="D11" s="6">
        <f>INDEX('7do 30 r.ż.'!B3:G28,MATCH(8,B4:B29,0),2)</f>
        <v>483</v>
      </c>
      <c r="E11" s="61">
        <f>INDEX('7do 30 r.ż.'!B3:G28,MATCH(8,B4:B29,0),3)</f>
        <v>454</v>
      </c>
      <c r="F11" s="6">
        <f>INDEX('7do 30 r.ż.'!B3:G28,MATCH(8,B4:B29,0),4)</f>
        <v>29</v>
      </c>
      <c r="G11" s="61">
        <f>INDEX('7do 30 r.ż.'!B3:G28,MATCH(8,B4:B29,0),5)</f>
        <v>486</v>
      </c>
      <c r="H11" s="6">
        <f>INDEX('7do 30 r.ż.'!B3:G28,MATCH(8,B4:B29,0),6)</f>
        <v>-3</v>
      </c>
    </row>
    <row r="12" spans="2:8" x14ac:dyDescent="0.2">
      <c r="B12" s="6">
        <f>RANK('7do 30 r.ż.'!C11,'7do 30 r.ż.'!$C$3:'7do 30 r.ż.'!$C$28,1)+COUNTIF('7do 30 r.ż.'!$C$3:'7do 30 r.ż.'!C11,'7do 30 r.ż.'!C11)-1</f>
        <v>19</v>
      </c>
      <c r="C12" s="5" t="str">
        <f>INDEX('7do 30 r.ż.'!B3:G28,MATCH(9,B4:B29,0),1)</f>
        <v>stalowowolski</v>
      </c>
      <c r="D12" s="6">
        <f>INDEX('7do 30 r.ż.'!B3:G28,MATCH(9,B4:B29,0),2)</f>
        <v>536</v>
      </c>
      <c r="E12" s="61">
        <f>INDEX('7do 30 r.ż.'!B3:G28,MATCH(9,B4:B29,0),3)</f>
        <v>496</v>
      </c>
      <c r="F12" s="6">
        <f>INDEX('7do 30 r.ż.'!B3:G28,MATCH(9,B4:B29,0),4)</f>
        <v>40</v>
      </c>
      <c r="G12" s="61">
        <f>INDEX('7do 30 r.ż.'!B3:G28,MATCH(9,B4:B29,0),5)</f>
        <v>509</v>
      </c>
      <c r="H12" s="6">
        <f>INDEX('7do 30 r.ż.'!B3:G28,MATCH(9,B4:B29,0),6)</f>
        <v>27</v>
      </c>
    </row>
    <row r="13" spans="2:8" x14ac:dyDescent="0.2">
      <c r="B13" s="6">
        <f>RANK('7do 30 r.ż.'!C12,'7do 30 r.ż.'!$C$3:'7do 30 r.ż.'!$C$28,1)+COUNTIF('7do 30 r.ż.'!$C$3:'7do 30 r.ż.'!C12,'7do 30 r.ż.'!C12)-1</f>
        <v>8</v>
      </c>
      <c r="C13" s="5" t="str">
        <f>INDEX('7do 30 r.ż.'!B3:G28,MATCH(10,B4:B29,0),1)</f>
        <v>krośnieński</v>
      </c>
      <c r="D13" s="6">
        <f>INDEX('7do 30 r.ż.'!B3:G28,MATCH(10,B4:B29,0),2)</f>
        <v>571</v>
      </c>
      <c r="E13" s="61">
        <f>INDEX('7do 30 r.ż.'!B3:G28,MATCH(10,B4:B29,0),3)</f>
        <v>569</v>
      </c>
      <c r="F13" s="6">
        <f>INDEX('7do 30 r.ż.'!B3:G28,MATCH(10,B4:B29,0),4)</f>
        <v>2</v>
      </c>
      <c r="G13" s="61">
        <f>INDEX('7do 30 r.ż.'!B3:G28,MATCH(10,B4:B29,0),5)</f>
        <v>449</v>
      </c>
      <c r="H13" s="6">
        <f>INDEX('7do 30 r.ż.'!B3:G28,MATCH(10,B4:B29,0),6)</f>
        <v>122</v>
      </c>
    </row>
    <row r="14" spans="2:8" x14ac:dyDescent="0.2">
      <c r="B14" s="6">
        <f>RANK('7do 30 r.ż.'!C13,'7do 30 r.ż.'!$C$3:'7do 30 r.ż.'!$C$28,1)+COUNTIF('7do 30 r.ż.'!$C$3:'7do 30 r.ż.'!C13,'7do 30 r.ż.'!C13)-1</f>
        <v>11</v>
      </c>
      <c r="C14" s="5" t="str">
        <f>INDEX('7do 30 r.ż.'!B3:G28,MATCH(11,B4:B29,0),1)</f>
        <v>łańcucki</v>
      </c>
      <c r="D14" s="6">
        <f>INDEX('7do 30 r.ż.'!B3:G28,MATCH(11,B4:B29,0),2)</f>
        <v>673</v>
      </c>
      <c r="E14" s="61">
        <f>INDEX('7do 30 r.ż.'!B3:G28,MATCH(11,B4:B29,0),3)</f>
        <v>703</v>
      </c>
      <c r="F14" s="6">
        <f>INDEX('7do 30 r.ż.'!B3:G28,MATCH(11,B4:B29,0),4)</f>
        <v>-30</v>
      </c>
      <c r="G14" s="61">
        <f>INDEX('7do 30 r.ż.'!B3:G28,MATCH(11,B4:B29,0),5)</f>
        <v>737</v>
      </c>
      <c r="H14" s="6">
        <f>INDEX('7do 30 r.ż.'!B3:G28,MATCH(11,B4:B29,0),6)</f>
        <v>-64</v>
      </c>
    </row>
    <row r="15" spans="2:8" x14ac:dyDescent="0.2">
      <c r="B15" s="6">
        <f>RANK('7do 30 r.ż.'!C14,'7do 30 r.ż.'!$C$3:'7do 30 r.ż.'!$C$28,1)+COUNTIF('7do 30 r.ż.'!$C$3:'7do 30 r.ż.'!C14,'7do 30 r.ż.'!C14)-1</f>
        <v>16</v>
      </c>
      <c r="C15" s="5" t="str">
        <f>INDEX('7do 30 r.ż.'!B3:G28,MATCH(12,B4:B29,0),1)</f>
        <v>dębicki</v>
      </c>
      <c r="D15" s="6">
        <f>INDEX('7do 30 r.ż.'!B3:G28,MATCH(12,B4:B29,0),2)</f>
        <v>708</v>
      </c>
      <c r="E15" s="61">
        <f>INDEX('7do 30 r.ż.'!B3:G28,MATCH(12,B4:B29,0),3)</f>
        <v>696</v>
      </c>
      <c r="F15" s="6">
        <f>INDEX('7do 30 r.ż.'!B3:G28,MATCH(12,B4:B29,0),4)</f>
        <v>12</v>
      </c>
      <c r="G15" s="61">
        <f>INDEX('7do 30 r.ż.'!B3:G28,MATCH(12,B4:B29,0),5)</f>
        <v>725</v>
      </c>
      <c r="H15" s="6">
        <f>INDEX('7do 30 r.ż.'!B3:G28,MATCH(12,B4:B29,0),6)</f>
        <v>-17</v>
      </c>
    </row>
    <row r="16" spans="2:8" x14ac:dyDescent="0.2">
      <c r="B16" s="6">
        <f>RANK('7do 30 r.ż.'!C15,'7do 30 r.ż.'!$C$3:'7do 30 r.ż.'!$C$28,1)+COUNTIF('7do 30 r.ż.'!$C$3:'7do 30 r.ż.'!C15,'7do 30 r.ż.'!C15)-1</f>
        <v>17</v>
      </c>
      <c r="C16" s="5" t="str">
        <f>INDEX('7do 30 r.ż.'!B3:G28,MATCH(13,B4:B29,0),1)</f>
        <v>sanocki</v>
      </c>
      <c r="D16" s="6">
        <f>INDEX('7do 30 r.ż.'!B3:G28,MATCH(13,B4:B29,0),2)</f>
        <v>723</v>
      </c>
      <c r="E16" s="61">
        <f>INDEX('7do 30 r.ż.'!B3:G28,MATCH(13,B4:B29,0),3)</f>
        <v>693</v>
      </c>
      <c r="F16" s="6">
        <f>INDEX('7do 30 r.ż.'!B3:G28,MATCH(13,B4:B29,0),4)</f>
        <v>30</v>
      </c>
      <c r="G16" s="61">
        <f>INDEX('7do 30 r.ż.'!B3:G28,MATCH(13,B4:B29,0),5)</f>
        <v>733</v>
      </c>
      <c r="H16" s="6">
        <f>INDEX('7do 30 r.ż.'!B3:G28,MATCH(13,B4:B29,0),6)</f>
        <v>-10</v>
      </c>
    </row>
    <row r="17" spans="2:8" x14ac:dyDescent="0.2">
      <c r="B17" s="6">
        <f>RANK('7do 30 r.ż.'!C16,'7do 30 r.ż.'!$C$3:'7do 30 r.ż.'!$C$28,1)+COUNTIF('7do 30 r.ż.'!$C$3:'7do 30 r.ż.'!C16,'7do 30 r.ż.'!C16)-1</f>
        <v>15</v>
      </c>
      <c r="C17" s="5" t="str">
        <f>INDEX('7do 30 r.ż.'!B3:G28,MATCH(14,B4:B29,0),1)</f>
        <v>ropczycko-sędziszowski</v>
      </c>
      <c r="D17" s="6">
        <f>INDEX('7do 30 r.ż.'!B3:G28,MATCH(14,B4:B29,0),2)</f>
        <v>770</v>
      </c>
      <c r="E17" s="61">
        <f>INDEX('7do 30 r.ż.'!B3:G28,MATCH(14,B4:B29,0),3)</f>
        <v>792</v>
      </c>
      <c r="F17" s="6">
        <f>INDEX('7do 30 r.ż.'!B3:G28,MATCH(14,B4:B29,0),4)</f>
        <v>-22</v>
      </c>
      <c r="G17" s="61">
        <f>INDEX('7do 30 r.ż.'!B3:G28,MATCH(14,B4:B29,0),5)</f>
        <v>847</v>
      </c>
      <c r="H17" s="6">
        <f>INDEX('7do 30 r.ż.'!B3:G28,MATCH(14,B4:B29,0),6)</f>
        <v>-77</v>
      </c>
    </row>
    <row r="18" spans="2:8" x14ac:dyDescent="0.2">
      <c r="B18" s="6">
        <f>RANK('7do 30 r.ż.'!C17,'7do 30 r.ż.'!$C$3:'7do 30 r.ż.'!$C$28,1)+COUNTIF('7do 30 r.ż.'!$C$3:'7do 30 r.ż.'!C17,'7do 30 r.ż.'!C17)-1</f>
        <v>21</v>
      </c>
      <c r="C18" s="5" t="str">
        <f>INDEX('7do 30 r.ż.'!B3:G28,MATCH(15,B4:B29,0),1)</f>
        <v>przemyski</v>
      </c>
      <c r="D18" s="6">
        <f>INDEX('7do 30 r.ż.'!B3:G28,MATCH(15,B4:B29,0),2)</f>
        <v>779</v>
      </c>
      <c r="E18" s="61">
        <f>INDEX('7do 30 r.ż.'!B3:G28,MATCH(15,B4:B29,0),3)</f>
        <v>755</v>
      </c>
      <c r="F18" s="6">
        <f>INDEX('7do 30 r.ż.'!B3:G28,MATCH(15,B4:B29,0),4)</f>
        <v>24</v>
      </c>
      <c r="G18" s="61">
        <f>INDEX('7do 30 r.ż.'!B3:G28,MATCH(15,B4:B29,0),5)</f>
        <v>777</v>
      </c>
      <c r="H18" s="6">
        <f>INDEX('7do 30 r.ż.'!B3:G28,MATCH(15,B4:B29,0),6)</f>
        <v>2</v>
      </c>
    </row>
    <row r="19" spans="2:8" x14ac:dyDescent="0.2">
      <c r="B19" s="6">
        <f>RANK('7do 30 r.ż.'!C18,'7do 30 r.ż.'!$C$3:'7do 30 r.ż.'!$C$28,1)+COUNTIF('7do 30 r.ż.'!$C$3:'7do 30 r.ż.'!C18,'7do 30 r.ż.'!C18)-1</f>
        <v>14</v>
      </c>
      <c r="C19" s="5" t="str">
        <f>INDEX('7do 30 r.ż.'!B3:G28,MATCH(16,B4:B29,0),1)</f>
        <v>mielecki</v>
      </c>
      <c r="D19" s="6">
        <f>INDEX('7do 30 r.ż.'!B3:G28,MATCH(16,B4:B29,0),2)</f>
        <v>786</v>
      </c>
      <c r="E19" s="61">
        <f>INDEX('7do 30 r.ż.'!B3:G28,MATCH(16,B4:B29,0),3)</f>
        <v>804</v>
      </c>
      <c r="F19" s="6">
        <f>INDEX('7do 30 r.ż.'!B3:G28,MATCH(16,B4:B29,0),4)</f>
        <v>-18</v>
      </c>
      <c r="G19" s="61">
        <f>INDEX('7do 30 r.ż.'!B3:G28,MATCH(16,B4:B29,0),5)</f>
        <v>691</v>
      </c>
      <c r="H19" s="6">
        <f>INDEX('7do 30 r.ż.'!B3:G28,MATCH(16,B4:B29,0),6)</f>
        <v>95</v>
      </c>
    </row>
    <row r="20" spans="2:8" x14ac:dyDescent="0.2">
      <c r="B20" s="6">
        <f>RANK('7do 30 r.ż.'!C19,'7do 30 r.ż.'!$C$3:'7do 30 r.ż.'!$C$28,1)+COUNTIF('7do 30 r.ż.'!$C$3:'7do 30 r.ż.'!C19,'7do 30 r.ż.'!C19)-1</f>
        <v>24</v>
      </c>
      <c r="C20" s="5" t="str">
        <f>INDEX('7do 30 r.ż.'!B3:G28,MATCH(17,B4:B29,0),1)</f>
        <v>niżański</v>
      </c>
      <c r="D20" s="6">
        <f>INDEX('7do 30 r.ż.'!B3:G28,MATCH(17,B4:B29,0),2)</f>
        <v>814</v>
      </c>
      <c r="E20" s="61">
        <f>INDEX('7do 30 r.ż.'!B3:G28,MATCH(17,B4:B29,0),3)</f>
        <v>805</v>
      </c>
      <c r="F20" s="6">
        <f>INDEX('7do 30 r.ż.'!B3:G28,MATCH(17,B4:B29,0),4)</f>
        <v>9</v>
      </c>
      <c r="G20" s="61">
        <f>INDEX('7do 30 r.ż.'!B3:G28,MATCH(17,B4:B29,0),5)</f>
        <v>866</v>
      </c>
      <c r="H20" s="6">
        <f>INDEX('7do 30 r.ż.'!B3:G28,MATCH(17,B4:B29,0),6)</f>
        <v>-52</v>
      </c>
    </row>
    <row r="21" spans="2:8" x14ac:dyDescent="0.2">
      <c r="B21" s="6">
        <f>RANK('7do 30 r.ż.'!C20,'7do 30 r.ż.'!$C$3:'7do 30 r.ż.'!$C$28,1)+COUNTIF('7do 30 r.ż.'!$C$3:'7do 30 r.ż.'!C20,'7do 30 r.ż.'!C20)-1</f>
        <v>13</v>
      </c>
      <c r="C21" s="5" t="str">
        <f>INDEX('7do 30 r.ż.'!B3:G28,MATCH(18,B4:B29,0),1)</f>
        <v>strzyżowski</v>
      </c>
      <c r="D21" s="6">
        <f>INDEX('7do 30 r.ż.'!B3:G28,MATCH(18,B4:B29,0),2)</f>
        <v>819</v>
      </c>
      <c r="E21" s="61">
        <f>INDEX('7do 30 r.ż.'!B3:G28,MATCH(18,B4:B29,0),3)</f>
        <v>829</v>
      </c>
      <c r="F21" s="6">
        <f>INDEX('7do 30 r.ż.'!B3:G28,MATCH(18,B4:B29,0),4)</f>
        <v>-10</v>
      </c>
      <c r="G21" s="61">
        <f>INDEX('7do 30 r.ż.'!B3:G28,MATCH(18,B4:B29,0),5)</f>
        <v>923</v>
      </c>
      <c r="H21" s="6">
        <f>INDEX('7do 30 r.ż.'!B3:G28,MATCH(18,B4:B29,0),6)</f>
        <v>-104</v>
      </c>
    </row>
    <row r="22" spans="2:8" x14ac:dyDescent="0.2">
      <c r="B22" s="6">
        <f>RANK('7do 30 r.ż.'!C21,'7do 30 r.ż.'!$C$3:'7do 30 r.ż.'!$C$28,1)+COUNTIF('7do 30 r.ż.'!$C$3:'7do 30 r.ż.'!C21,'7do 30 r.ż.'!C21)-1</f>
        <v>9</v>
      </c>
      <c r="C22" s="5" t="str">
        <f>INDEX('7do 30 r.ż.'!B3:G28,MATCH(19,B4:B29,0),1)</f>
        <v>leżajski</v>
      </c>
      <c r="D22" s="6">
        <f>INDEX('7do 30 r.ż.'!B3:G28,MATCH(19,B4:B29,0),2)</f>
        <v>850</v>
      </c>
      <c r="E22" s="61">
        <f>INDEX('7do 30 r.ż.'!B3:G28,MATCH(19,B4:B29,0),3)</f>
        <v>833</v>
      </c>
      <c r="F22" s="6">
        <f>INDEX('7do 30 r.ż.'!B3:G28,MATCH(19,B4:B29,0),4)</f>
        <v>17</v>
      </c>
      <c r="G22" s="61">
        <f>INDEX('7do 30 r.ż.'!B3:G28,MATCH(19,B4:B29,0),5)</f>
        <v>923</v>
      </c>
      <c r="H22" s="6">
        <f>INDEX('7do 30 r.ż.'!B3:G28,MATCH(19,B4:B29,0),6)</f>
        <v>-73</v>
      </c>
    </row>
    <row r="23" spans="2:8" x14ac:dyDescent="0.2">
      <c r="B23" s="6">
        <f>RANK('7do 30 r.ż.'!C22,'7do 30 r.ż.'!$C$3:'7do 30 r.ż.'!$C$28,1)+COUNTIF('7do 30 r.ż.'!$C$3:'7do 30 r.ż.'!C22,'7do 30 r.ż.'!C22)-1</f>
        <v>18</v>
      </c>
      <c r="C23" s="5" t="str">
        <f>INDEX('7do 30 r.ż.'!B3:G28,MATCH(20,B4:B29,0),1)</f>
        <v>Rzeszów</v>
      </c>
      <c r="D23" s="6">
        <f>INDEX('7do 30 r.ż.'!B3:G28,MATCH(20,B4:B29,0),2)</f>
        <v>875</v>
      </c>
      <c r="E23" s="61">
        <f>INDEX('7do 30 r.ż.'!B3:G28,MATCH(20,B4:B29,0),3)</f>
        <v>941</v>
      </c>
      <c r="F23" s="6">
        <f>INDEX('7do 30 r.ż.'!B3:G28,MATCH(20,B4:B29,0),4)</f>
        <v>-66</v>
      </c>
      <c r="G23" s="61">
        <f>INDEX('7do 30 r.ż.'!B3:G28,MATCH(20,B4:B29,0),5)</f>
        <v>1032</v>
      </c>
      <c r="H23" s="6">
        <f>INDEX('7do 30 r.ż.'!B3:G28,MATCH(20,B4:B29,0),6)</f>
        <v>-157</v>
      </c>
    </row>
    <row r="24" spans="2:8" x14ac:dyDescent="0.2">
      <c r="B24" s="6">
        <f>RANK('7do 30 r.ż.'!C23,'7do 30 r.ż.'!$C$3:'7do 30 r.ż.'!$C$28,1)+COUNTIF('7do 30 r.ż.'!$C$3:'7do 30 r.ż.'!C23,'7do 30 r.ż.'!C23)-1</f>
        <v>4</v>
      </c>
      <c r="C24" s="5" t="str">
        <f>INDEX('7do 30 r.ż.'!B3:G28,MATCH(21,B4:B29,0),1)</f>
        <v>przeworski</v>
      </c>
      <c r="D24" s="6">
        <f>INDEX('7do 30 r.ż.'!B3:G28,MATCH(21,B4:B29,0),2)</f>
        <v>907</v>
      </c>
      <c r="E24" s="61">
        <f>INDEX('7do 30 r.ż.'!B3:G28,MATCH(21,B4:B29,0),3)</f>
        <v>897</v>
      </c>
      <c r="F24" s="6">
        <f>INDEX('7do 30 r.ż.'!B3:G28,MATCH(21,B4:B29,0),4)</f>
        <v>10</v>
      </c>
      <c r="G24" s="61">
        <f>INDEX('7do 30 r.ż.'!B3:G28,MATCH(21,B4:B29,0),5)</f>
        <v>999</v>
      </c>
      <c r="H24" s="6">
        <f>INDEX('7do 30 r.ż.'!B3:G28,MATCH(21,B4:B29,0),6)</f>
        <v>-92</v>
      </c>
    </row>
    <row r="25" spans="2:8" x14ac:dyDescent="0.2">
      <c r="B25" s="6">
        <f>RANK('7do 30 r.ż.'!C24,'7do 30 r.ż.'!$C$3:'7do 30 r.ż.'!$C$28,1)+COUNTIF('7do 30 r.ż.'!$C$3:'7do 30 r.ż.'!C24,'7do 30 r.ż.'!C24)-1</f>
        <v>1</v>
      </c>
      <c r="C25" s="5" t="str">
        <f>INDEX('7do 30 r.ż.'!B3:G28,MATCH(22,B4:B29,0),1)</f>
        <v>brzozowski</v>
      </c>
      <c r="D25" s="6">
        <f>INDEX('7do 30 r.ż.'!B3:G28,MATCH(22,B4:B29,0),2)</f>
        <v>988</v>
      </c>
      <c r="E25" s="61">
        <f>INDEX('7do 30 r.ż.'!B3:G28,MATCH(22,B4:B29,0),3)</f>
        <v>956</v>
      </c>
      <c r="F25" s="6">
        <f>INDEX('7do 30 r.ż.'!B3:G28,MATCH(22,B4:B29,0),4)</f>
        <v>32</v>
      </c>
      <c r="G25" s="61">
        <f>INDEX('7do 30 r.ż.'!B3:G28,MATCH(22,B4:B29,0),5)</f>
        <v>996</v>
      </c>
      <c r="H25" s="6">
        <f>INDEX('7do 30 r.ż.'!B3:G28,MATCH(22,B4:B29,0),6)</f>
        <v>-8</v>
      </c>
    </row>
    <row r="26" spans="2:8" x14ac:dyDescent="0.2">
      <c r="B26" s="6">
        <f>RANK('7do 30 r.ż.'!C25,'7do 30 r.ż.'!$C$3:'7do 30 r.ż.'!$C$28,1)+COUNTIF('7do 30 r.ż.'!$C$3:'7do 30 r.ż.'!C25,'7do 30 r.ż.'!C25)-1</f>
        <v>6</v>
      </c>
      <c r="C26" s="5" t="str">
        <f>INDEX('7do 30 r.ż.'!B3:G28,MATCH(23,B4:B29,0),1)</f>
        <v>jarosławski</v>
      </c>
      <c r="D26" s="6">
        <f>INDEX('7do 30 r.ż.'!B3:G28,MATCH(23,B4:B29,0),2)</f>
        <v>1077</v>
      </c>
      <c r="E26" s="61">
        <f>INDEX('7do 30 r.ż.'!B3:G28,MATCH(23,B4:B29,0),3)</f>
        <v>1089</v>
      </c>
      <c r="F26" s="6">
        <f>INDEX('7do 30 r.ż.'!B3:G28,MATCH(23,B4:B29,0),4)</f>
        <v>-12</v>
      </c>
      <c r="G26" s="61">
        <f>INDEX('7do 30 r.ż.'!B3:G28,MATCH(23,B4:B29,0),5)</f>
        <v>1267</v>
      </c>
      <c r="H26" s="6">
        <f>INDEX('7do 30 r.ż.'!B3:G28,MATCH(23,B4:B29,0),6)</f>
        <v>-190</v>
      </c>
    </row>
    <row r="27" spans="2:8" x14ac:dyDescent="0.2">
      <c r="B27" s="6">
        <f>RANK('7do 30 r.ż.'!C26,'7do 30 r.ż.'!$C$3:'7do 30 r.ż.'!$C$28,1)+COUNTIF('7do 30 r.ż.'!$C$3:'7do 30 r.ż.'!C26,'7do 30 r.ż.'!C26)-1</f>
        <v>20</v>
      </c>
      <c r="C27" s="5" t="str">
        <f>INDEX('7do 30 r.ż.'!B3:G28,MATCH(24,B4:B29,0),1)</f>
        <v>rzeszowski</v>
      </c>
      <c r="D27" s="6">
        <f>INDEX('7do 30 r.ż.'!B3:G28,MATCH(24,B4:B29,0),2)</f>
        <v>1219</v>
      </c>
      <c r="E27" s="61">
        <f>INDEX('7do 30 r.ż.'!B3:G28,MATCH(24,B4:B29,0),3)</f>
        <v>1195</v>
      </c>
      <c r="F27" s="6">
        <f>INDEX('7do 30 r.ż.'!B3:G28,MATCH(24,B4:B29,0),4)</f>
        <v>24</v>
      </c>
      <c r="G27" s="61">
        <f>INDEX('7do 30 r.ż.'!B3:G28,MATCH(24,B4:B29,0),5)</f>
        <v>1339</v>
      </c>
      <c r="H27" s="6">
        <f>INDEX('7do 30 r.ż.'!B3:G28,MATCH(24,B4:B29,0),6)</f>
        <v>-120</v>
      </c>
    </row>
    <row r="28" spans="2:8" x14ac:dyDescent="0.2">
      <c r="B28" s="6">
        <f>RANK('7do 30 r.ż.'!C27,'7do 30 r.ż.'!$C$3:'7do 30 r.ż.'!$C$28,1)+COUNTIF('7do 30 r.ż.'!$C$3:'7do 30 r.ż.'!C27,'7do 30 r.ż.'!C27)-1</f>
        <v>2</v>
      </c>
      <c r="C28" s="5" t="str">
        <f>INDEX('7do 30 r.ż.'!B3:G28,MATCH(25,B4:B29,0),1)</f>
        <v>jasielski</v>
      </c>
      <c r="D28" s="6">
        <f>INDEX('7do 30 r.ż.'!B3:G28,MATCH(25,B4:B29,0),2)</f>
        <v>1250</v>
      </c>
      <c r="E28" s="61">
        <f>INDEX('7do 30 r.ż.'!B3:G28,MATCH(25,B4:B29,0),3)</f>
        <v>1224</v>
      </c>
      <c r="F28" s="6">
        <f>INDEX('7do 30 r.ż.'!B3:G28,MATCH(25,B4:B29,0),4)</f>
        <v>26</v>
      </c>
      <c r="G28" s="61">
        <f>INDEX('7do 30 r.ż.'!B3:G28,MATCH(25,B4:B29,0),5)</f>
        <v>1167</v>
      </c>
      <c r="H28" s="6">
        <f>INDEX('7do 30 r.ż.'!B3:G28,MATCH(25,B4:B29,0),6)</f>
        <v>83</v>
      </c>
    </row>
    <row r="29" spans="2:8" ht="15" x14ac:dyDescent="0.25">
      <c r="B29" s="59">
        <f>RANK('7do 30 r.ż.'!C28,'7do 30 r.ż.'!$C$3:'7do 30 r.ż.'!$C$28,1)+COUNTIF('7do 30 r.ż.'!$C$3:'7do 30 r.ż.'!C28,'7do 30 r.ż.'!C28)-1</f>
        <v>26</v>
      </c>
      <c r="C29" s="58" t="str">
        <f>INDEX('7do 30 r.ż.'!B3:G28,MATCH(26,B4:B29,0),1)</f>
        <v>województwo</v>
      </c>
      <c r="D29" s="59">
        <f>INDEX('7do 30 r.ż.'!B3:G28,MATCH(26,B4:B29,0),2)</f>
        <v>17014</v>
      </c>
      <c r="E29" s="63">
        <f>INDEX('7do 30 r.ż.'!B3:G28,MATCH(26,B4:B29,0),3)</f>
        <v>16968</v>
      </c>
      <c r="F29" s="59">
        <f>INDEX('7do 30 r.ż.'!B3:G28,MATCH(26,B4:B29,0),4)</f>
        <v>46</v>
      </c>
      <c r="G29" s="63">
        <f>INDEX('7do 30 r.ż.'!B3:G28,MATCH(26,B4:B29,0),5)</f>
        <v>17668</v>
      </c>
      <c r="H29" s="59">
        <f>INDEX('7do 30 r.ż.'!B3:G28,MATCH(26,B4:B29,0),6)</f>
        <v>-654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C00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5.28515625" style="3" customWidth="1"/>
    <col min="3" max="3" width="14.7109375" style="3" customWidth="1"/>
    <col min="4" max="4" width="14.140625" style="3" customWidth="1"/>
    <col min="5" max="5" width="16.5703125" style="3" customWidth="1"/>
    <col min="6" max="6" width="13.7109375" style="3" customWidth="1"/>
    <col min="7" max="7" width="17.28515625" style="3" customWidth="1"/>
    <col min="8" max="8" width="6.85546875" style="3" customWidth="1"/>
    <col min="9" max="16384" width="9.140625" style="3"/>
  </cols>
  <sheetData>
    <row r="1" spans="2:8" ht="17.25" customHeight="1" x14ac:dyDescent="0.2">
      <c r="B1" s="1" t="s">
        <v>82</v>
      </c>
      <c r="C1" s="46"/>
      <c r="D1" s="46"/>
      <c r="E1" s="46"/>
      <c r="F1" s="46"/>
      <c r="G1" s="46"/>
    </row>
    <row r="2" spans="2:8" ht="57.75" x14ac:dyDescent="0.2">
      <c r="B2" s="55" t="s">
        <v>27</v>
      </c>
      <c r="C2" s="56" t="s">
        <v>138</v>
      </c>
      <c r="D2" s="57" t="s">
        <v>137</v>
      </c>
      <c r="E2" s="56" t="s">
        <v>28</v>
      </c>
      <c r="F2" s="57" t="s">
        <v>139</v>
      </c>
      <c r="G2" s="56" t="s">
        <v>26</v>
      </c>
    </row>
    <row r="3" spans="2:8" x14ac:dyDescent="0.2">
      <c r="B3" s="5" t="s">
        <v>0</v>
      </c>
      <c r="C3" s="45">
        <v>229</v>
      </c>
      <c r="D3" s="61">
        <v>232</v>
      </c>
      <c r="E3" s="45">
        <f t="shared" ref="E3:E27" si="0">SUM(C3)-D3</f>
        <v>-3</v>
      </c>
      <c r="F3" s="61">
        <v>246</v>
      </c>
      <c r="G3" s="45">
        <f t="shared" ref="G3:G27" si="1">SUM(C3)-F3</f>
        <v>-17</v>
      </c>
      <c r="H3" s="7"/>
    </row>
    <row r="4" spans="2:8" x14ac:dyDescent="0.2">
      <c r="B4" s="5" t="s">
        <v>1</v>
      </c>
      <c r="C4" s="45">
        <v>888</v>
      </c>
      <c r="D4" s="61">
        <v>897</v>
      </c>
      <c r="E4" s="45">
        <f t="shared" si="0"/>
        <v>-9</v>
      </c>
      <c r="F4" s="61">
        <v>983</v>
      </c>
      <c r="G4" s="45">
        <f t="shared" si="1"/>
        <v>-95</v>
      </c>
      <c r="H4" s="7"/>
    </row>
    <row r="5" spans="2:8" x14ac:dyDescent="0.2">
      <c r="B5" s="5" t="s">
        <v>2</v>
      </c>
      <c r="C5" s="45">
        <v>545</v>
      </c>
      <c r="D5" s="61">
        <v>540</v>
      </c>
      <c r="E5" s="45">
        <f t="shared" si="0"/>
        <v>5</v>
      </c>
      <c r="F5" s="61">
        <v>557</v>
      </c>
      <c r="G5" s="45">
        <f t="shared" si="1"/>
        <v>-12</v>
      </c>
      <c r="H5" s="7"/>
    </row>
    <row r="6" spans="2:8" x14ac:dyDescent="0.2">
      <c r="B6" s="5" t="s">
        <v>3</v>
      </c>
      <c r="C6" s="45">
        <v>1015</v>
      </c>
      <c r="D6" s="61">
        <v>1018</v>
      </c>
      <c r="E6" s="45">
        <f t="shared" si="0"/>
        <v>-3</v>
      </c>
      <c r="F6" s="61">
        <v>1106</v>
      </c>
      <c r="G6" s="45">
        <f t="shared" si="1"/>
        <v>-91</v>
      </c>
      <c r="H6" s="7"/>
    </row>
    <row r="7" spans="2:8" x14ac:dyDescent="0.2">
      <c r="B7" s="5" t="s">
        <v>4</v>
      </c>
      <c r="C7" s="45">
        <v>1097</v>
      </c>
      <c r="D7" s="61">
        <v>1085</v>
      </c>
      <c r="E7" s="45">
        <f t="shared" si="0"/>
        <v>12</v>
      </c>
      <c r="F7" s="61">
        <v>1119</v>
      </c>
      <c r="G7" s="45">
        <f t="shared" si="1"/>
        <v>-22</v>
      </c>
      <c r="H7" s="7"/>
    </row>
    <row r="8" spans="2:8" x14ac:dyDescent="0.2">
      <c r="B8" s="5" t="s">
        <v>5</v>
      </c>
      <c r="C8" s="45">
        <v>385</v>
      </c>
      <c r="D8" s="61">
        <v>380</v>
      </c>
      <c r="E8" s="45">
        <f t="shared" si="0"/>
        <v>5</v>
      </c>
      <c r="F8" s="61">
        <v>426</v>
      </c>
      <c r="G8" s="45">
        <f t="shared" si="1"/>
        <v>-41</v>
      </c>
      <c r="H8" s="7"/>
    </row>
    <row r="9" spans="2:8" x14ac:dyDescent="0.2">
      <c r="B9" s="9" t="s">
        <v>6</v>
      </c>
      <c r="C9" s="45">
        <v>548</v>
      </c>
      <c r="D9" s="61">
        <v>544</v>
      </c>
      <c r="E9" s="45">
        <f t="shared" si="0"/>
        <v>4</v>
      </c>
      <c r="F9" s="61">
        <v>501</v>
      </c>
      <c r="G9" s="45">
        <f t="shared" si="1"/>
        <v>47</v>
      </c>
      <c r="H9" s="7"/>
    </row>
    <row r="10" spans="2:8" x14ac:dyDescent="0.2">
      <c r="B10" s="5" t="s">
        <v>7</v>
      </c>
      <c r="C10" s="45">
        <v>381</v>
      </c>
      <c r="D10" s="61">
        <v>376</v>
      </c>
      <c r="E10" s="45">
        <f t="shared" si="0"/>
        <v>5</v>
      </c>
      <c r="F10" s="61">
        <v>391</v>
      </c>
      <c r="G10" s="45">
        <f t="shared" si="1"/>
        <v>-10</v>
      </c>
      <c r="H10" s="7"/>
    </row>
    <row r="11" spans="2:8" x14ac:dyDescent="0.2">
      <c r="B11" s="5" t="s">
        <v>8</v>
      </c>
      <c r="C11" s="45">
        <v>677</v>
      </c>
      <c r="D11" s="61">
        <v>675</v>
      </c>
      <c r="E11" s="45">
        <f t="shared" si="0"/>
        <v>2</v>
      </c>
      <c r="F11" s="61">
        <v>693</v>
      </c>
      <c r="G11" s="45">
        <f t="shared" si="1"/>
        <v>-16</v>
      </c>
      <c r="H11" s="7"/>
    </row>
    <row r="12" spans="2:8" x14ac:dyDescent="0.2">
      <c r="B12" s="5" t="s">
        <v>9</v>
      </c>
      <c r="C12" s="45">
        <v>457</v>
      </c>
      <c r="D12" s="61">
        <v>454</v>
      </c>
      <c r="E12" s="45">
        <f t="shared" si="0"/>
        <v>3</v>
      </c>
      <c r="F12" s="61">
        <v>486</v>
      </c>
      <c r="G12" s="45">
        <f t="shared" si="1"/>
        <v>-29</v>
      </c>
      <c r="H12" s="7"/>
    </row>
    <row r="13" spans="2:8" x14ac:dyDescent="0.2">
      <c r="B13" s="5" t="s">
        <v>10</v>
      </c>
      <c r="C13" s="45">
        <v>551</v>
      </c>
      <c r="D13" s="61">
        <v>550</v>
      </c>
      <c r="E13" s="45">
        <f t="shared" si="0"/>
        <v>1</v>
      </c>
      <c r="F13" s="61">
        <v>609</v>
      </c>
      <c r="G13" s="45">
        <f t="shared" si="1"/>
        <v>-58</v>
      </c>
      <c r="H13" s="7"/>
    </row>
    <row r="14" spans="2:8" x14ac:dyDescent="0.2">
      <c r="B14" s="5" t="s">
        <v>11</v>
      </c>
      <c r="C14" s="45">
        <v>733</v>
      </c>
      <c r="D14" s="61">
        <v>745</v>
      </c>
      <c r="E14" s="45">
        <f t="shared" si="0"/>
        <v>-12</v>
      </c>
      <c r="F14" s="61">
        <v>673</v>
      </c>
      <c r="G14" s="45">
        <f t="shared" si="1"/>
        <v>60</v>
      </c>
      <c r="H14" s="7"/>
    </row>
    <row r="15" spans="2:8" x14ac:dyDescent="0.2">
      <c r="B15" s="5" t="s">
        <v>12</v>
      </c>
      <c r="C15" s="45">
        <v>697</v>
      </c>
      <c r="D15" s="61">
        <v>713</v>
      </c>
      <c r="E15" s="45">
        <f t="shared" si="0"/>
        <v>-16</v>
      </c>
      <c r="F15" s="61">
        <v>756</v>
      </c>
      <c r="G15" s="45">
        <f t="shared" si="1"/>
        <v>-59</v>
      </c>
      <c r="H15" s="7"/>
    </row>
    <row r="16" spans="2:8" x14ac:dyDescent="0.2">
      <c r="B16" s="5" t="s">
        <v>13</v>
      </c>
      <c r="C16" s="45">
        <v>700</v>
      </c>
      <c r="D16" s="61">
        <v>675</v>
      </c>
      <c r="E16" s="45">
        <f t="shared" si="0"/>
        <v>25</v>
      </c>
      <c r="F16" s="61">
        <v>687</v>
      </c>
      <c r="G16" s="45">
        <f t="shared" si="1"/>
        <v>13</v>
      </c>
      <c r="H16" s="7"/>
    </row>
    <row r="17" spans="2:8" x14ac:dyDescent="0.2">
      <c r="B17" s="5" t="s">
        <v>14</v>
      </c>
      <c r="C17" s="45">
        <v>694</v>
      </c>
      <c r="D17" s="61">
        <v>667</v>
      </c>
      <c r="E17" s="45">
        <f t="shared" si="0"/>
        <v>27</v>
      </c>
      <c r="F17" s="61">
        <v>695</v>
      </c>
      <c r="G17" s="45">
        <f t="shared" si="1"/>
        <v>-1</v>
      </c>
      <c r="H17" s="7"/>
    </row>
    <row r="18" spans="2:8" x14ac:dyDescent="0.2">
      <c r="B18" s="5" t="s">
        <v>15</v>
      </c>
      <c r="C18" s="45">
        <v>607</v>
      </c>
      <c r="D18" s="61">
        <v>593</v>
      </c>
      <c r="E18" s="45">
        <f t="shared" si="0"/>
        <v>14</v>
      </c>
      <c r="F18" s="61">
        <v>598</v>
      </c>
      <c r="G18" s="45">
        <f t="shared" si="1"/>
        <v>9</v>
      </c>
      <c r="H18" s="7"/>
    </row>
    <row r="19" spans="2:8" x14ac:dyDescent="0.2">
      <c r="B19" s="5" t="s">
        <v>16</v>
      </c>
      <c r="C19" s="45">
        <v>1092</v>
      </c>
      <c r="D19" s="61">
        <v>1066</v>
      </c>
      <c r="E19" s="45">
        <f t="shared" si="0"/>
        <v>26</v>
      </c>
      <c r="F19" s="61">
        <v>1218</v>
      </c>
      <c r="G19" s="45">
        <f t="shared" si="1"/>
        <v>-126</v>
      </c>
      <c r="H19" s="7"/>
    </row>
    <row r="20" spans="2:8" x14ac:dyDescent="0.2">
      <c r="B20" s="5" t="s">
        <v>17</v>
      </c>
      <c r="C20" s="45">
        <v>624</v>
      </c>
      <c r="D20" s="61">
        <v>618</v>
      </c>
      <c r="E20" s="45">
        <f t="shared" si="0"/>
        <v>6</v>
      </c>
      <c r="F20" s="61">
        <v>592</v>
      </c>
      <c r="G20" s="45">
        <f t="shared" si="1"/>
        <v>32</v>
      </c>
      <c r="H20" s="7"/>
    </row>
    <row r="21" spans="2:8" x14ac:dyDescent="0.2">
      <c r="B21" s="5" t="s">
        <v>18</v>
      </c>
      <c r="C21" s="45">
        <v>479</v>
      </c>
      <c r="D21" s="61">
        <v>480</v>
      </c>
      <c r="E21" s="45">
        <f t="shared" si="0"/>
        <v>-1</v>
      </c>
      <c r="F21" s="61">
        <v>501</v>
      </c>
      <c r="G21" s="45">
        <f t="shared" si="1"/>
        <v>-22</v>
      </c>
      <c r="H21" s="7"/>
    </row>
    <row r="22" spans="2:8" x14ac:dyDescent="0.2">
      <c r="B22" s="5" t="s">
        <v>19</v>
      </c>
      <c r="C22" s="45">
        <v>694</v>
      </c>
      <c r="D22" s="61">
        <v>704</v>
      </c>
      <c r="E22" s="45">
        <f t="shared" si="0"/>
        <v>-10</v>
      </c>
      <c r="F22" s="61">
        <v>739</v>
      </c>
      <c r="G22" s="45">
        <f t="shared" si="1"/>
        <v>-45</v>
      </c>
      <c r="H22" s="7"/>
    </row>
    <row r="23" spans="2:8" x14ac:dyDescent="0.2">
      <c r="B23" s="5" t="s">
        <v>20</v>
      </c>
      <c r="C23" s="45">
        <v>360</v>
      </c>
      <c r="D23" s="61">
        <v>355</v>
      </c>
      <c r="E23" s="45">
        <f t="shared" si="0"/>
        <v>5</v>
      </c>
      <c r="F23" s="61">
        <v>352</v>
      </c>
      <c r="G23" s="45">
        <f t="shared" si="1"/>
        <v>8</v>
      </c>
      <c r="H23" s="7"/>
    </row>
    <row r="24" spans="2:8" x14ac:dyDescent="0.2">
      <c r="B24" s="5" t="s">
        <v>21</v>
      </c>
      <c r="C24" s="45">
        <v>182</v>
      </c>
      <c r="D24" s="61">
        <v>178</v>
      </c>
      <c r="E24" s="45">
        <f t="shared" si="0"/>
        <v>4</v>
      </c>
      <c r="F24" s="61">
        <v>163</v>
      </c>
      <c r="G24" s="45">
        <f t="shared" si="1"/>
        <v>19</v>
      </c>
      <c r="H24" s="7"/>
    </row>
    <row r="25" spans="2:8" x14ac:dyDescent="0.2">
      <c r="B25" s="5" t="s">
        <v>22</v>
      </c>
      <c r="C25" s="45">
        <v>677</v>
      </c>
      <c r="D25" s="61">
        <v>676</v>
      </c>
      <c r="E25" s="45">
        <f t="shared" si="0"/>
        <v>1</v>
      </c>
      <c r="F25" s="61">
        <v>717</v>
      </c>
      <c r="G25" s="45">
        <f t="shared" si="1"/>
        <v>-40</v>
      </c>
      <c r="H25" s="7"/>
    </row>
    <row r="26" spans="2:8" x14ac:dyDescent="0.2">
      <c r="B26" s="5" t="s">
        <v>23</v>
      </c>
      <c r="C26" s="45">
        <v>1347</v>
      </c>
      <c r="D26" s="61">
        <v>1339</v>
      </c>
      <c r="E26" s="45">
        <f t="shared" si="0"/>
        <v>8</v>
      </c>
      <c r="F26" s="61">
        <v>1494</v>
      </c>
      <c r="G26" s="45">
        <f t="shared" si="1"/>
        <v>-147</v>
      </c>
      <c r="H26" s="7"/>
    </row>
    <row r="27" spans="2:8" x14ac:dyDescent="0.2">
      <c r="B27" s="5" t="s">
        <v>24</v>
      </c>
      <c r="C27" s="45">
        <v>271</v>
      </c>
      <c r="D27" s="61">
        <v>282</v>
      </c>
      <c r="E27" s="45">
        <f t="shared" si="0"/>
        <v>-11</v>
      </c>
      <c r="F27" s="61">
        <v>317</v>
      </c>
      <c r="G27" s="45">
        <f t="shared" si="1"/>
        <v>-46</v>
      </c>
      <c r="H27" s="7"/>
    </row>
    <row r="28" spans="2:8" ht="15" x14ac:dyDescent="0.25">
      <c r="B28" s="58" t="s">
        <v>25</v>
      </c>
      <c r="C28" s="77">
        <f>SUM(C3:C27)</f>
        <v>15930</v>
      </c>
      <c r="D28" s="63">
        <f>SUM(D3:D27)</f>
        <v>15842</v>
      </c>
      <c r="E28" s="77">
        <f>SUM(E3:E27)</f>
        <v>88</v>
      </c>
      <c r="F28" s="63">
        <f>SUM(F3:F27)</f>
        <v>16619</v>
      </c>
      <c r="G28" s="77">
        <f>SUM(G3:G27)</f>
        <v>-689</v>
      </c>
      <c r="H28" s="7"/>
    </row>
    <row r="29" spans="2:8" x14ac:dyDescent="0.2">
      <c r="E29" s="19"/>
      <c r="G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7" style="3" customWidth="1"/>
    <col min="3" max="3" width="25.5703125" style="3" customWidth="1"/>
    <col min="4" max="6" width="16.140625" style="3" customWidth="1"/>
    <col min="7" max="7" width="15.5703125" style="3" customWidth="1"/>
    <col min="8" max="8" width="17.140625" style="3" customWidth="1"/>
    <col min="9" max="9" width="6.5703125" style="3" customWidth="1"/>
    <col min="10" max="18" width="9.140625" style="3"/>
    <col min="19" max="19" width="4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82</v>
      </c>
    </row>
    <row r="2" spans="2:8" ht="15" x14ac:dyDescent="0.2">
      <c r="C2" s="20"/>
      <c r="D2" s="21"/>
    </row>
    <row r="3" spans="2:8" ht="57" x14ac:dyDescent="0.2">
      <c r="B3" s="62" t="s">
        <v>86</v>
      </c>
      <c r="C3" s="55" t="str">
        <f>T('8pow. 50 r.ż.'!B2)</f>
        <v>powiaty</v>
      </c>
      <c r="D3" s="55" t="str">
        <f>T('8pow. 50 r.ż.'!C2)</f>
        <v>liczba bezrobotnych 50+ stan na 31 X '23 r.</v>
      </c>
      <c r="E3" s="55" t="str">
        <f>T('8pow. 50 r.ż.'!D2)</f>
        <v>liczba bezrobotnych 50+ stan na 30 IX '23 r.</v>
      </c>
      <c r="F3" s="55" t="str">
        <f>T('8pow. 50 r.ż.'!E2)</f>
        <v>wzrost/spadek do poprzedniego  miesiąca</v>
      </c>
      <c r="G3" s="55" t="str">
        <f>T('8pow. 50 r.ż.'!F2)</f>
        <v>liczba bezrobotnych 50+ stan na 31 X '22 r.</v>
      </c>
      <c r="H3" s="55" t="str">
        <f>T('8pow. 50 r.ż.'!G2)</f>
        <v>wzrost/spadek do analogicznego okresu ubr.</v>
      </c>
    </row>
    <row r="4" spans="2:8" x14ac:dyDescent="0.2">
      <c r="B4" s="6">
        <f>RANK('8pow. 50 r.ż.'!C3,'8pow. 50 r.ż.'!$C$3:'8pow. 50 r.ż.'!$C$28,1)+COUNTIF('8pow. 50 r.ż.'!$C$3:'8pow. 50 r.ż.'!C3,'8pow. 50 r.ż.'!C3)-1</f>
        <v>2</v>
      </c>
      <c r="C4" s="5" t="str">
        <f>INDEX('8pow. 50 r.ż.'!B3:G28,MATCH(1,B4:B29,0),1)</f>
        <v>Krosno</v>
      </c>
      <c r="D4" s="25">
        <f>INDEX('8pow. 50 r.ż.'!B3:G28,MATCH(1,B4:B29,0),2)</f>
        <v>182</v>
      </c>
      <c r="E4" s="61">
        <f>INDEX('8pow. 50 r.ż.'!B3:G28,MATCH(1,B4:B29,0),3)</f>
        <v>178</v>
      </c>
      <c r="F4" s="6">
        <f>INDEX('8pow. 50 r.ż.'!B3:G28,MATCH(1,B4:B29,0),4)</f>
        <v>4</v>
      </c>
      <c r="G4" s="61">
        <f>INDEX('8pow. 50 r.ż.'!B3:G28,MATCH(1,B4:B29,0),5)</f>
        <v>163</v>
      </c>
      <c r="H4" s="6">
        <f>INDEX('8pow. 50 r.ż.'!B3:G28,MATCH(1,B4:B29,0),6)</f>
        <v>19</v>
      </c>
    </row>
    <row r="5" spans="2:8" x14ac:dyDescent="0.2">
      <c r="B5" s="6">
        <f>RANK('8pow. 50 r.ż.'!C4,'8pow. 50 r.ż.'!$C$3:'8pow. 50 r.ż.'!$C$28,1)+COUNTIF('8pow. 50 r.ż.'!$C$3:'8pow. 50 r.ż.'!C4,'8pow. 50 r.ż.'!C4)-1</f>
        <v>21</v>
      </c>
      <c r="C5" s="5" t="str">
        <f>INDEX('8pow. 50 r.ż.'!B3:G28,MATCH(2,B4:B29,0),1)</f>
        <v>bieszczadzki</v>
      </c>
      <c r="D5" s="6">
        <f>INDEX('8pow. 50 r.ż.'!B3:G28,MATCH(2,B4:B29,0),2)</f>
        <v>229</v>
      </c>
      <c r="E5" s="61">
        <f>INDEX('8pow. 50 r.ż.'!B3:G28,MATCH(2,B4:B29,0),3)</f>
        <v>232</v>
      </c>
      <c r="F5" s="6">
        <f>INDEX('8pow. 50 r.ż.'!B3:G28,MATCH(2,B4:B29,0),4)</f>
        <v>-3</v>
      </c>
      <c r="G5" s="61">
        <f>INDEX('8pow. 50 r.ż.'!B3:G28,MATCH(2,B4:B29,0),5)</f>
        <v>246</v>
      </c>
      <c r="H5" s="6">
        <f>INDEX('8pow. 50 r.ż.'!B3:G28,MATCH(2,B4:B29,0),6)</f>
        <v>-17</v>
      </c>
    </row>
    <row r="6" spans="2:8" x14ac:dyDescent="0.2">
      <c r="B6" s="6">
        <f>RANK('8pow. 50 r.ż.'!C5,'8pow. 50 r.ż.'!$C$3:'8pow. 50 r.ż.'!$C$28,1)+COUNTIF('8pow. 50 r.ż.'!$C$3:'8pow. 50 r.ż.'!C5,'8pow. 50 r.ż.'!C5)-1</f>
        <v>9</v>
      </c>
      <c r="C6" s="5" t="str">
        <f>INDEX('8pow. 50 r.ż.'!B3:G28,MATCH(3,B4:B29,0),1)</f>
        <v>Tarnobrzeg</v>
      </c>
      <c r="D6" s="6">
        <f>INDEX('8pow. 50 r.ż.'!B3:G28,MATCH(3,B4:B29,0),2)</f>
        <v>271</v>
      </c>
      <c r="E6" s="61">
        <f>INDEX('8pow. 50 r.ż.'!B3:G28,MATCH(3,B4:B29,0),3)</f>
        <v>282</v>
      </c>
      <c r="F6" s="6">
        <f>INDEX('8pow. 50 r.ż.'!B3:G28,MATCH(3,B4:B29,0),4)</f>
        <v>-11</v>
      </c>
      <c r="G6" s="61">
        <f>INDEX('8pow. 50 r.ż.'!B3:G28,MATCH(3,B4:B29,0),5)</f>
        <v>317</v>
      </c>
      <c r="H6" s="6">
        <f>INDEX('8pow. 50 r.ż.'!B3:G28,MATCH(3,B4:B29,0),6)</f>
        <v>-46</v>
      </c>
    </row>
    <row r="7" spans="2:8" x14ac:dyDescent="0.2">
      <c r="B7" s="6">
        <f>RANK('8pow. 50 r.ż.'!C6,'8pow. 50 r.ż.'!$C$3:'8pow. 50 r.ż.'!$C$28,1)+COUNTIF('8pow. 50 r.ż.'!$C$3:'8pow. 50 r.ż.'!C6,'8pow. 50 r.ż.'!C6)-1</f>
        <v>22</v>
      </c>
      <c r="C7" s="5" t="str">
        <f>INDEX('8pow. 50 r.ż.'!B3:G28,MATCH(4,B4:B29,0),1)</f>
        <v xml:space="preserve">tarnobrzeski </v>
      </c>
      <c r="D7" s="6">
        <f>INDEX('8pow. 50 r.ż.'!B3:G28,MATCH(4,B4:B29,0),2)</f>
        <v>360</v>
      </c>
      <c r="E7" s="61">
        <f>INDEX('8pow. 50 r.ż.'!B3:G28,MATCH(4,B4:B29,0),3)</f>
        <v>355</v>
      </c>
      <c r="F7" s="6">
        <f>INDEX('8pow. 50 r.ż.'!B3:G28,MATCH(4,B4:B29,0),4)</f>
        <v>5</v>
      </c>
      <c r="G7" s="61">
        <f>INDEX('8pow. 50 r.ż.'!B3:G28,MATCH(4,B4:B29,0),5)</f>
        <v>352</v>
      </c>
      <c r="H7" s="6">
        <f>INDEX('8pow. 50 r.ż.'!B3:G28,MATCH(4,B4:B29,0),6)</f>
        <v>8</v>
      </c>
    </row>
    <row r="8" spans="2:8" x14ac:dyDescent="0.2">
      <c r="B8" s="6">
        <f>RANK('8pow. 50 r.ż.'!C7,'8pow. 50 r.ż.'!$C$3:'8pow. 50 r.ż.'!$C$28,1)+COUNTIF('8pow. 50 r.ż.'!$C$3:'8pow. 50 r.ż.'!C7,'8pow. 50 r.ż.'!C7)-1</f>
        <v>24</v>
      </c>
      <c r="C8" s="5" t="str">
        <f>INDEX('8pow. 50 r.ż.'!B3:G28,MATCH(5,B4:B29,0),1)</f>
        <v>leski</v>
      </c>
      <c r="D8" s="6">
        <f>INDEX('8pow. 50 r.ż.'!B3:G28,MATCH(5,B4:B29,0),2)</f>
        <v>381</v>
      </c>
      <c r="E8" s="61">
        <f>INDEX('8pow. 50 r.ż.'!B3:G28,MATCH(5,B4:B29,0),3)</f>
        <v>376</v>
      </c>
      <c r="F8" s="6">
        <f>INDEX('8pow. 50 r.ż.'!B3:G28,MATCH(5,B4:B29,0),4)</f>
        <v>5</v>
      </c>
      <c r="G8" s="61">
        <f>INDEX('8pow. 50 r.ż.'!B3:G28,MATCH(5,B4:B29,0),5)</f>
        <v>391</v>
      </c>
      <c r="H8" s="6">
        <f>INDEX('8pow. 50 r.ż.'!B3:G28,MATCH(5,B4:B29,0),6)</f>
        <v>-10</v>
      </c>
    </row>
    <row r="9" spans="2:8" x14ac:dyDescent="0.2">
      <c r="B9" s="6">
        <f>RANK('8pow. 50 r.ż.'!C8,'8pow. 50 r.ż.'!$C$3:'8pow. 50 r.ż.'!$C$28,1)+COUNTIF('8pow. 50 r.ż.'!$C$3:'8pow. 50 r.ż.'!C8,'8pow. 50 r.ż.'!C8)-1</f>
        <v>6</v>
      </c>
      <c r="C9" s="5" t="str">
        <f>INDEX('8pow. 50 r.ż.'!B3:G28,MATCH(6,B4:B29,0),1)</f>
        <v>kolbuszowski</v>
      </c>
      <c r="D9" s="6">
        <f>INDEX('8pow. 50 r.ż.'!B3:G28,MATCH(6,B4:B29,0),2)</f>
        <v>385</v>
      </c>
      <c r="E9" s="61">
        <f>INDEX('8pow. 50 r.ż.'!B3:G28,MATCH(6,B4:B29,0),3)</f>
        <v>380</v>
      </c>
      <c r="F9" s="6">
        <f>INDEX('8pow. 50 r.ż.'!B3:G28,MATCH(6,B4:B29,0),4)</f>
        <v>5</v>
      </c>
      <c r="G9" s="61">
        <f>INDEX('8pow. 50 r.ż.'!B3:G28,MATCH(6,B4:B29,0),5)</f>
        <v>426</v>
      </c>
      <c r="H9" s="6">
        <f>INDEX('8pow. 50 r.ż.'!B3:G28,MATCH(6,B4:B29,0),6)</f>
        <v>-41</v>
      </c>
    </row>
    <row r="10" spans="2:8" x14ac:dyDescent="0.2">
      <c r="B10" s="6">
        <f>RANK('8pow. 50 r.ż.'!C9,'8pow. 50 r.ż.'!$C$3:'8pow. 50 r.ż.'!$C$28,1)+COUNTIF('8pow. 50 r.ż.'!$C$3:'8pow. 50 r.ż.'!C9,'8pow. 50 r.ż.'!C9)-1</f>
        <v>10</v>
      </c>
      <c r="C10" s="9" t="str">
        <f>INDEX('8pow. 50 r.ż.'!B3:G28,MATCH(7,B4:B29,0),1)</f>
        <v>lubaczowski</v>
      </c>
      <c r="D10" s="6">
        <f>INDEX('8pow. 50 r.ż.'!B3:G28,MATCH(7,B4:B29,0),2)</f>
        <v>457</v>
      </c>
      <c r="E10" s="61">
        <f>INDEX('8pow. 50 r.ż.'!B3:G28,MATCH(7,B4:B29,0),3)</f>
        <v>454</v>
      </c>
      <c r="F10" s="6">
        <f>INDEX('8pow. 50 r.ż.'!B3:G28,MATCH(7,B4:B29,0),4)</f>
        <v>3</v>
      </c>
      <c r="G10" s="61">
        <f>INDEX('8pow. 50 r.ż.'!B3:G28,MATCH(7,B4:B29,0),5)</f>
        <v>486</v>
      </c>
      <c r="H10" s="6">
        <f>INDEX('8pow. 50 r.ż.'!B3:G28,MATCH(7,B4:B29,0),6)</f>
        <v>-29</v>
      </c>
    </row>
    <row r="11" spans="2:8" x14ac:dyDescent="0.2">
      <c r="B11" s="6">
        <f>RANK('8pow. 50 r.ż.'!C10,'8pow. 50 r.ż.'!$C$3:'8pow. 50 r.ż.'!$C$28,1)+COUNTIF('8pow. 50 r.ż.'!$C$3:'8pow. 50 r.ż.'!C10,'8pow. 50 r.ż.'!C10)-1</f>
        <v>5</v>
      </c>
      <c r="C11" s="5" t="str">
        <f>INDEX('8pow. 50 r.ż.'!B3:G28,MATCH(8,B4:B29,0),1)</f>
        <v>stalowowolski</v>
      </c>
      <c r="D11" s="6">
        <f>INDEX('8pow. 50 r.ż.'!B3:G28,MATCH(8,B4:B29,0),2)</f>
        <v>479</v>
      </c>
      <c r="E11" s="61">
        <f>INDEX('8pow. 50 r.ż.'!B3:G28,MATCH(8,B4:B29,0),3)</f>
        <v>480</v>
      </c>
      <c r="F11" s="6">
        <f>INDEX('8pow. 50 r.ż.'!B3:G28,MATCH(8,B4:B29,0),4)</f>
        <v>-1</v>
      </c>
      <c r="G11" s="61">
        <f>INDEX('8pow. 50 r.ż.'!B3:G28,MATCH(8,B4:B29,0),5)</f>
        <v>501</v>
      </c>
      <c r="H11" s="6">
        <f>INDEX('8pow. 50 r.ż.'!B3:G28,MATCH(8,B4:B29,0),6)</f>
        <v>-22</v>
      </c>
    </row>
    <row r="12" spans="2:8" x14ac:dyDescent="0.2">
      <c r="B12" s="6">
        <f>RANK('8pow. 50 r.ż.'!C11,'8pow. 50 r.ż.'!$C$3:'8pow. 50 r.ż.'!$C$28,1)+COUNTIF('8pow. 50 r.ż.'!$C$3:'8pow. 50 r.ż.'!C11,'8pow. 50 r.ż.'!C11)-1</f>
        <v>14</v>
      </c>
      <c r="C12" s="5" t="str">
        <f>INDEX('8pow. 50 r.ż.'!B3:G28,MATCH(9,B4:B29,0),1)</f>
        <v>dębicki</v>
      </c>
      <c r="D12" s="6">
        <f>INDEX('8pow. 50 r.ż.'!B3:G28,MATCH(9,B4:B29,0),2)</f>
        <v>545</v>
      </c>
      <c r="E12" s="61">
        <f>INDEX('8pow. 50 r.ż.'!B3:G28,MATCH(9,B4:B29,0),3)</f>
        <v>540</v>
      </c>
      <c r="F12" s="6">
        <f>INDEX('8pow. 50 r.ż.'!B3:G28,MATCH(9,B4:B29,0),4)</f>
        <v>5</v>
      </c>
      <c r="G12" s="61">
        <f>INDEX('8pow. 50 r.ż.'!B3:G28,MATCH(9,B4:B29,0),5)</f>
        <v>557</v>
      </c>
      <c r="H12" s="6">
        <f>INDEX('8pow. 50 r.ż.'!B3:G28,MATCH(9,B4:B29,0),6)</f>
        <v>-12</v>
      </c>
    </row>
    <row r="13" spans="2:8" x14ac:dyDescent="0.2">
      <c r="B13" s="6">
        <f>RANK('8pow. 50 r.ż.'!C12,'8pow. 50 r.ż.'!$C$3:'8pow. 50 r.ż.'!$C$28,1)+COUNTIF('8pow. 50 r.ż.'!$C$3:'8pow. 50 r.ż.'!C12,'8pow. 50 r.ż.'!C12)-1</f>
        <v>7</v>
      </c>
      <c r="C13" s="5" t="str">
        <f>INDEX('8pow. 50 r.ż.'!B3:G28,MATCH(10,B4:B29,0),1)</f>
        <v>krośnieński</v>
      </c>
      <c r="D13" s="6">
        <f>INDEX('8pow. 50 r.ż.'!B3:G28,MATCH(10,B4:B29,0),2)</f>
        <v>548</v>
      </c>
      <c r="E13" s="61">
        <f>INDEX('8pow. 50 r.ż.'!B3:G28,MATCH(10,B4:B29,0),3)</f>
        <v>544</v>
      </c>
      <c r="F13" s="6">
        <f>INDEX('8pow. 50 r.ż.'!B3:G28,MATCH(10,B4:B29,0),4)</f>
        <v>4</v>
      </c>
      <c r="G13" s="61">
        <f>INDEX('8pow. 50 r.ż.'!B3:G28,MATCH(10,B4:B29,0),5)</f>
        <v>501</v>
      </c>
      <c r="H13" s="6">
        <f>INDEX('8pow. 50 r.ż.'!B3:G28,MATCH(10,B4:B29,0),6)</f>
        <v>47</v>
      </c>
    </row>
    <row r="14" spans="2:8" x14ac:dyDescent="0.2">
      <c r="B14" s="6">
        <f>RANK('8pow. 50 r.ż.'!C13,'8pow. 50 r.ż.'!$C$3:'8pow. 50 r.ż.'!$C$28,1)+COUNTIF('8pow. 50 r.ż.'!$C$3:'8pow. 50 r.ż.'!C13,'8pow. 50 r.ż.'!C13)-1</f>
        <v>11</v>
      </c>
      <c r="C14" s="5" t="str">
        <f>INDEX('8pow. 50 r.ż.'!B3:G28,MATCH(11,B4:B29,0),1)</f>
        <v>łańcucki</v>
      </c>
      <c r="D14" s="6">
        <f>INDEX('8pow. 50 r.ż.'!B3:G28,MATCH(11,B4:B29,0),2)</f>
        <v>551</v>
      </c>
      <c r="E14" s="61">
        <f>INDEX('8pow. 50 r.ż.'!B3:G28,MATCH(11,B4:B29,0),3)</f>
        <v>550</v>
      </c>
      <c r="F14" s="6">
        <f>INDEX('8pow. 50 r.ż.'!B3:G28,MATCH(11,B4:B29,0),4)</f>
        <v>1</v>
      </c>
      <c r="G14" s="61">
        <f>INDEX('8pow. 50 r.ż.'!B3:G28,MATCH(11,B4:B29,0),5)</f>
        <v>609</v>
      </c>
      <c r="H14" s="6">
        <f>INDEX('8pow. 50 r.ż.'!B3:G28,MATCH(11,B4:B29,0),6)</f>
        <v>-58</v>
      </c>
    </row>
    <row r="15" spans="2:8" x14ac:dyDescent="0.2">
      <c r="B15" s="6">
        <f>RANK('8pow. 50 r.ż.'!C14,'8pow. 50 r.ż.'!$C$3:'8pow. 50 r.ż.'!$C$28,1)+COUNTIF('8pow. 50 r.ż.'!$C$3:'8pow. 50 r.ż.'!C14,'8pow. 50 r.ż.'!C14)-1</f>
        <v>20</v>
      </c>
      <c r="C15" s="5" t="str">
        <f>INDEX('8pow. 50 r.ż.'!B3:G28,MATCH(12,B4:B29,0),1)</f>
        <v>ropczycko-sędziszowski</v>
      </c>
      <c r="D15" s="6">
        <f>INDEX('8pow. 50 r.ż.'!B3:G28,MATCH(12,B4:B29,0),2)</f>
        <v>607</v>
      </c>
      <c r="E15" s="61">
        <f>INDEX('8pow. 50 r.ż.'!B3:G28,MATCH(12,B4:B29,0),3)</f>
        <v>593</v>
      </c>
      <c r="F15" s="6">
        <f>INDEX('8pow. 50 r.ż.'!B3:G28,MATCH(12,B4:B29,0),4)</f>
        <v>14</v>
      </c>
      <c r="G15" s="61">
        <f>INDEX('8pow. 50 r.ż.'!B3:G28,MATCH(12,B4:B29,0),5)</f>
        <v>598</v>
      </c>
      <c r="H15" s="6">
        <f>INDEX('8pow. 50 r.ż.'!B3:G28,MATCH(12,B4:B29,0),6)</f>
        <v>9</v>
      </c>
    </row>
    <row r="16" spans="2:8" x14ac:dyDescent="0.2">
      <c r="B16" s="6">
        <f>RANK('8pow. 50 r.ż.'!C15,'8pow. 50 r.ż.'!$C$3:'8pow. 50 r.ż.'!$C$28,1)+COUNTIF('8pow. 50 r.ż.'!$C$3:'8pow. 50 r.ż.'!C15,'8pow. 50 r.ż.'!C15)-1</f>
        <v>18</v>
      </c>
      <c r="C16" s="5" t="str">
        <f>INDEX('8pow. 50 r.ż.'!B3:G28,MATCH(13,B4:B29,0),1)</f>
        <v>sanocki</v>
      </c>
      <c r="D16" s="6">
        <f>INDEX('8pow. 50 r.ż.'!B3:G28,MATCH(13,B4:B29,0),2)</f>
        <v>624</v>
      </c>
      <c r="E16" s="61">
        <f>INDEX('8pow. 50 r.ż.'!B3:G28,MATCH(13,B4:B29,0),3)</f>
        <v>618</v>
      </c>
      <c r="F16" s="6">
        <f>INDEX('8pow. 50 r.ż.'!B3:G28,MATCH(13,B4:B29,0),4)</f>
        <v>6</v>
      </c>
      <c r="G16" s="61">
        <f>INDEX('8pow. 50 r.ż.'!B3:G28,MATCH(13,B4:B29,0),5)</f>
        <v>592</v>
      </c>
      <c r="H16" s="6">
        <f>INDEX('8pow. 50 r.ż.'!B3:G28,MATCH(13,B4:B29,0),6)</f>
        <v>32</v>
      </c>
    </row>
    <row r="17" spans="2:8" x14ac:dyDescent="0.2">
      <c r="B17" s="6">
        <f>RANK('8pow. 50 r.ż.'!C16,'8pow. 50 r.ż.'!$C$3:'8pow. 50 r.ż.'!$C$28,1)+COUNTIF('8pow. 50 r.ż.'!$C$3:'8pow. 50 r.ż.'!C16,'8pow. 50 r.ż.'!C16)-1</f>
        <v>19</v>
      </c>
      <c r="C17" s="5" t="str">
        <f>INDEX('8pow. 50 r.ż.'!B3:G28,MATCH(14,B4:B29,0),1)</f>
        <v>leżajski</v>
      </c>
      <c r="D17" s="6">
        <f>INDEX('8pow. 50 r.ż.'!B3:G28,MATCH(14,B4:B29,0),2)</f>
        <v>677</v>
      </c>
      <c r="E17" s="61">
        <f>INDEX('8pow. 50 r.ż.'!B3:G28,MATCH(14,B4:B29,0),3)</f>
        <v>675</v>
      </c>
      <c r="F17" s="6">
        <f>INDEX('8pow. 50 r.ż.'!B3:G28,MATCH(14,B4:B29,0),4)</f>
        <v>2</v>
      </c>
      <c r="G17" s="61">
        <f>INDEX('8pow. 50 r.ż.'!B3:G28,MATCH(14,B4:B29,0),5)</f>
        <v>693</v>
      </c>
      <c r="H17" s="6">
        <f>INDEX('8pow. 50 r.ż.'!B3:G28,MATCH(14,B4:B29,0),6)</f>
        <v>-16</v>
      </c>
    </row>
    <row r="18" spans="2:8" x14ac:dyDescent="0.2">
      <c r="B18" s="6">
        <f>RANK('8pow. 50 r.ż.'!C17,'8pow. 50 r.ż.'!$C$3:'8pow. 50 r.ż.'!$C$28,1)+COUNTIF('8pow. 50 r.ż.'!$C$3:'8pow. 50 r.ż.'!C17,'8pow. 50 r.ż.'!C17)-1</f>
        <v>16</v>
      </c>
      <c r="C18" s="5" t="str">
        <f>INDEX('8pow. 50 r.ż.'!B3:G28,MATCH(15,B4:B29,0),1)</f>
        <v>Przemyśl</v>
      </c>
      <c r="D18" s="6">
        <f>INDEX('8pow. 50 r.ż.'!B3:G28,MATCH(15,B4:B29,0),2)</f>
        <v>677</v>
      </c>
      <c r="E18" s="61">
        <f>INDEX('8pow. 50 r.ż.'!B3:G28,MATCH(15,B4:B29,0),3)</f>
        <v>676</v>
      </c>
      <c r="F18" s="6">
        <f>INDEX('8pow. 50 r.ż.'!B3:G28,MATCH(15,B4:B29,0),4)</f>
        <v>1</v>
      </c>
      <c r="G18" s="61">
        <f>INDEX('8pow. 50 r.ż.'!B3:G28,MATCH(15,B4:B29,0),5)</f>
        <v>717</v>
      </c>
      <c r="H18" s="6">
        <f>INDEX('8pow. 50 r.ż.'!B3:G28,MATCH(15,B4:B29,0),6)</f>
        <v>-40</v>
      </c>
    </row>
    <row r="19" spans="2:8" x14ac:dyDescent="0.2">
      <c r="B19" s="6">
        <f>RANK('8pow. 50 r.ż.'!C18,'8pow. 50 r.ż.'!$C$3:'8pow. 50 r.ż.'!$C$28,1)+COUNTIF('8pow. 50 r.ż.'!$C$3:'8pow. 50 r.ż.'!C18,'8pow. 50 r.ż.'!C18)-1</f>
        <v>12</v>
      </c>
      <c r="C19" s="5" t="str">
        <f>INDEX('8pow. 50 r.ż.'!B3:G28,MATCH(16,B4:B29,0),1)</f>
        <v>przeworski</v>
      </c>
      <c r="D19" s="6">
        <f>INDEX('8pow. 50 r.ż.'!B3:G28,MATCH(16,B4:B29,0),2)</f>
        <v>694</v>
      </c>
      <c r="E19" s="61">
        <f>INDEX('8pow. 50 r.ż.'!B3:G28,MATCH(16,B4:B29,0),3)</f>
        <v>667</v>
      </c>
      <c r="F19" s="6">
        <f>INDEX('8pow. 50 r.ż.'!B3:G28,MATCH(16,B4:B29,0),4)</f>
        <v>27</v>
      </c>
      <c r="G19" s="61">
        <f>INDEX('8pow. 50 r.ż.'!B3:G28,MATCH(16,B4:B29,0),5)</f>
        <v>695</v>
      </c>
      <c r="H19" s="6">
        <f>INDEX('8pow. 50 r.ż.'!B3:G28,MATCH(16,B4:B29,0),6)</f>
        <v>-1</v>
      </c>
    </row>
    <row r="20" spans="2:8" x14ac:dyDescent="0.2">
      <c r="B20" s="6">
        <f>RANK('8pow. 50 r.ż.'!C19,'8pow. 50 r.ż.'!$C$3:'8pow. 50 r.ż.'!$C$28,1)+COUNTIF('8pow. 50 r.ż.'!$C$3:'8pow. 50 r.ż.'!C19,'8pow. 50 r.ż.'!C19)-1</f>
        <v>23</v>
      </c>
      <c r="C20" s="5" t="str">
        <f>INDEX('8pow. 50 r.ż.'!B3:G28,MATCH(17,B4:B29,0),1)</f>
        <v>strzyżowski</v>
      </c>
      <c r="D20" s="6">
        <f>INDEX('8pow. 50 r.ż.'!B3:G28,MATCH(17,B4:B29,0),2)</f>
        <v>694</v>
      </c>
      <c r="E20" s="61">
        <f>INDEX('8pow. 50 r.ż.'!B3:G28,MATCH(17,B4:B29,0),3)</f>
        <v>704</v>
      </c>
      <c r="F20" s="6">
        <f>INDEX('8pow. 50 r.ż.'!B3:G28,MATCH(17,B4:B29,0),4)</f>
        <v>-10</v>
      </c>
      <c r="G20" s="61">
        <f>INDEX('8pow. 50 r.ż.'!B3:G28,MATCH(17,B4:B29,0),5)</f>
        <v>739</v>
      </c>
      <c r="H20" s="6">
        <f>INDEX('8pow. 50 r.ż.'!B3:G28,MATCH(17,B4:B29,0),6)</f>
        <v>-45</v>
      </c>
    </row>
    <row r="21" spans="2:8" x14ac:dyDescent="0.2">
      <c r="B21" s="6">
        <f>RANK('8pow. 50 r.ż.'!C20,'8pow. 50 r.ż.'!$C$3:'8pow. 50 r.ż.'!$C$28,1)+COUNTIF('8pow. 50 r.ż.'!$C$3:'8pow. 50 r.ż.'!C20,'8pow. 50 r.ż.'!C20)-1</f>
        <v>13</v>
      </c>
      <c r="C21" s="5" t="str">
        <f>INDEX('8pow. 50 r.ż.'!B3:G28,MATCH(18,B4:B29,0),1)</f>
        <v>niżański</v>
      </c>
      <c r="D21" s="6">
        <f>INDEX('8pow. 50 r.ż.'!B3:G28,MATCH(18,B4:B29,0),2)</f>
        <v>697</v>
      </c>
      <c r="E21" s="61">
        <f>INDEX('8pow. 50 r.ż.'!B3:G28,MATCH(18,B4:B29,0),3)</f>
        <v>713</v>
      </c>
      <c r="F21" s="6">
        <f>INDEX('8pow. 50 r.ż.'!B3:G28,MATCH(18,B4:B29,0),4)</f>
        <v>-16</v>
      </c>
      <c r="G21" s="61">
        <f>INDEX('8pow. 50 r.ż.'!B3:G28,MATCH(18,B4:B29,0),5)</f>
        <v>756</v>
      </c>
      <c r="H21" s="6">
        <f>INDEX('8pow. 50 r.ż.'!B3:G28,MATCH(18,B4:B29,0),6)</f>
        <v>-59</v>
      </c>
    </row>
    <row r="22" spans="2:8" x14ac:dyDescent="0.2">
      <c r="B22" s="6">
        <f>RANK('8pow. 50 r.ż.'!C21,'8pow. 50 r.ż.'!$C$3:'8pow. 50 r.ż.'!$C$28,1)+COUNTIF('8pow. 50 r.ż.'!$C$3:'8pow. 50 r.ż.'!C21,'8pow. 50 r.ż.'!C21)-1</f>
        <v>8</v>
      </c>
      <c r="C22" s="5" t="str">
        <f>INDEX('8pow. 50 r.ż.'!B3:G28,MATCH(19,B4:B29,0),1)</f>
        <v>przemyski</v>
      </c>
      <c r="D22" s="6">
        <f>INDEX('8pow. 50 r.ż.'!B3:G28,MATCH(19,B4:B29,0),2)</f>
        <v>700</v>
      </c>
      <c r="E22" s="61">
        <f>INDEX('8pow. 50 r.ż.'!B3:G28,MATCH(19,B4:B29,0),3)</f>
        <v>675</v>
      </c>
      <c r="F22" s="6">
        <f>INDEX('8pow. 50 r.ż.'!B3:G28,MATCH(19,B4:B29,0),4)</f>
        <v>25</v>
      </c>
      <c r="G22" s="61">
        <f>INDEX('8pow. 50 r.ż.'!B3:G28,MATCH(19,B4:B29,0),5)</f>
        <v>687</v>
      </c>
      <c r="H22" s="6">
        <f>INDEX('8pow. 50 r.ż.'!B3:G28,MATCH(19,B4:B29,0),6)</f>
        <v>13</v>
      </c>
    </row>
    <row r="23" spans="2:8" x14ac:dyDescent="0.2">
      <c r="B23" s="6">
        <f>RANK('8pow. 50 r.ż.'!C22,'8pow. 50 r.ż.'!$C$3:'8pow. 50 r.ż.'!$C$28,1)+COUNTIF('8pow. 50 r.ż.'!$C$3:'8pow. 50 r.ż.'!C22,'8pow. 50 r.ż.'!C22)-1</f>
        <v>17</v>
      </c>
      <c r="C23" s="5" t="str">
        <f>INDEX('8pow. 50 r.ż.'!B3:G28,MATCH(20,B4:B29,0),1)</f>
        <v>mielecki</v>
      </c>
      <c r="D23" s="6">
        <f>INDEX('8pow. 50 r.ż.'!B3:G28,MATCH(20,B4:B29,0),2)</f>
        <v>733</v>
      </c>
      <c r="E23" s="61">
        <f>INDEX('8pow. 50 r.ż.'!B3:G28,MATCH(20,B4:B29,0),3)</f>
        <v>745</v>
      </c>
      <c r="F23" s="6">
        <f>INDEX('8pow. 50 r.ż.'!B3:G28,MATCH(20,B4:B29,0),4)</f>
        <v>-12</v>
      </c>
      <c r="G23" s="61">
        <f>INDEX('8pow. 50 r.ż.'!B3:G28,MATCH(20,B4:B29,0),5)</f>
        <v>673</v>
      </c>
      <c r="H23" s="6">
        <f>INDEX('8pow. 50 r.ż.'!B3:G28,MATCH(20,B4:B29,0),6)</f>
        <v>60</v>
      </c>
    </row>
    <row r="24" spans="2:8" x14ac:dyDescent="0.2">
      <c r="B24" s="6">
        <f>RANK('8pow. 50 r.ż.'!C23,'8pow. 50 r.ż.'!$C$3:'8pow. 50 r.ż.'!$C$28,1)+COUNTIF('8pow. 50 r.ż.'!$C$3:'8pow. 50 r.ż.'!C23,'8pow. 50 r.ż.'!C23)-1</f>
        <v>4</v>
      </c>
      <c r="C24" s="5" t="str">
        <f>INDEX('8pow. 50 r.ż.'!B3:G28,MATCH(21,B4:B29,0),1)</f>
        <v>brzozowski</v>
      </c>
      <c r="D24" s="6">
        <f>INDEX('8pow. 50 r.ż.'!B3:G28,MATCH(21,B4:B29,0),2)</f>
        <v>888</v>
      </c>
      <c r="E24" s="61">
        <f>INDEX('8pow. 50 r.ż.'!B3:G28,MATCH(21,B4:B29,0),3)</f>
        <v>897</v>
      </c>
      <c r="F24" s="6">
        <f>INDEX('8pow. 50 r.ż.'!B3:G28,MATCH(21,B4:B29,0),4)</f>
        <v>-9</v>
      </c>
      <c r="G24" s="61">
        <f>INDEX('8pow. 50 r.ż.'!B3:G28,MATCH(21,B4:B29,0),5)</f>
        <v>983</v>
      </c>
      <c r="H24" s="6">
        <f>INDEX('8pow. 50 r.ż.'!B3:G28,MATCH(21,B4:B29,0),6)</f>
        <v>-95</v>
      </c>
    </row>
    <row r="25" spans="2:8" x14ac:dyDescent="0.2">
      <c r="B25" s="6">
        <f>RANK('8pow. 50 r.ż.'!C24,'8pow. 50 r.ż.'!$C$3:'8pow. 50 r.ż.'!$C$28,1)+COUNTIF('8pow. 50 r.ż.'!$C$3:'8pow. 50 r.ż.'!C24,'8pow. 50 r.ż.'!C24)-1</f>
        <v>1</v>
      </c>
      <c r="C25" s="5" t="str">
        <f>INDEX('8pow. 50 r.ż.'!B3:G28,MATCH(22,B4:B29,0),1)</f>
        <v>jarosławski</v>
      </c>
      <c r="D25" s="6">
        <f>INDEX('8pow. 50 r.ż.'!B3:G28,MATCH(22,B4:B29,0),2)</f>
        <v>1015</v>
      </c>
      <c r="E25" s="61">
        <f>INDEX('8pow. 50 r.ż.'!B3:G28,MATCH(22,B4:B29,0),3)</f>
        <v>1018</v>
      </c>
      <c r="F25" s="6">
        <f>INDEX('8pow. 50 r.ż.'!B3:G28,MATCH(22,B4:B29,0),4)</f>
        <v>-3</v>
      </c>
      <c r="G25" s="61">
        <f>INDEX('8pow. 50 r.ż.'!B3:G28,MATCH(22,B4:B29,0),5)</f>
        <v>1106</v>
      </c>
      <c r="H25" s="6">
        <f>INDEX('8pow. 50 r.ż.'!B3:G28,MATCH(22,B4:B29,0),6)</f>
        <v>-91</v>
      </c>
    </row>
    <row r="26" spans="2:8" x14ac:dyDescent="0.2">
      <c r="B26" s="6">
        <f>RANK('8pow. 50 r.ż.'!C25,'8pow. 50 r.ż.'!$C$3:'8pow. 50 r.ż.'!$C$28,1)+COUNTIF('8pow. 50 r.ż.'!$C$3:'8pow. 50 r.ż.'!C25,'8pow. 50 r.ż.'!C25)-1</f>
        <v>15</v>
      </c>
      <c r="C26" s="5" t="str">
        <f>INDEX('8pow. 50 r.ż.'!B3:G28,MATCH(23,B4:B29,0),1)</f>
        <v>rzeszowski</v>
      </c>
      <c r="D26" s="6">
        <f>INDEX('8pow. 50 r.ż.'!B3:G28,MATCH(23,B4:B29,0),2)</f>
        <v>1092</v>
      </c>
      <c r="E26" s="61">
        <f>INDEX('8pow. 50 r.ż.'!B3:G28,MATCH(23,B4:B29,0),3)</f>
        <v>1066</v>
      </c>
      <c r="F26" s="6">
        <f>INDEX('8pow. 50 r.ż.'!B3:G28,MATCH(23,B4:B29,0),4)</f>
        <v>26</v>
      </c>
      <c r="G26" s="61">
        <f>INDEX('8pow. 50 r.ż.'!B3:G28,MATCH(23,B4:B29,0),5)</f>
        <v>1218</v>
      </c>
      <c r="H26" s="6">
        <f>INDEX('8pow. 50 r.ż.'!B3:G28,MATCH(23,B4:B29,0),6)</f>
        <v>-126</v>
      </c>
    </row>
    <row r="27" spans="2:8" x14ac:dyDescent="0.2">
      <c r="B27" s="6">
        <f>RANK('8pow. 50 r.ż.'!C26,'8pow. 50 r.ż.'!$C$3:'8pow. 50 r.ż.'!$C$28,1)+COUNTIF('8pow. 50 r.ż.'!$C$3:'8pow. 50 r.ż.'!C26,'8pow. 50 r.ż.'!C26)-1</f>
        <v>25</v>
      </c>
      <c r="C27" s="5" t="str">
        <f>INDEX('8pow. 50 r.ż.'!B3:G28,MATCH(24,B4:B29,0),1)</f>
        <v>jasielski</v>
      </c>
      <c r="D27" s="6">
        <f>INDEX('8pow. 50 r.ż.'!B3:G28,MATCH(24,B4:B29,0),2)</f>
        <v>1097</v>
      </c>
      <c r="E27" s="61">
        <f>INDEX('8pow. 50 r.ż.'!B3:G28,MATCH(24,B4:B29,0),3)</f>
        <v>1085</v>
      </c>
      <c r="F27" s="6">
        <f>INDEX('8pow. 50 r.ż.'!B3:G28,MATCH(24,B4:B29,0),4)</f>
        <v>12</v>
      </c>
      <c r="G27" s="61">
        <f>INDEX('8pow. 50 r.ż.'!B3:G28,MATCH(24,B4:B29,0),5)</f>
        <v>1119</v>
      </c>
      <c r="H27" s="6">
        <f>INDEX('8pow. 50 r.ż.'!B3:G28,MATCH(24,B4:B29,0),6)</f>
        <v>-22</v>
      </c>
    </row>
    <row r="28" spans="2:8" x14ac:dyDescent="0.2">
      <c r="B28" s="6">
        <f>RANK('8pow. 50 r.ż.'!C27,'8pow. 50 r.ż.'!$C$3:'8pow. 50 r.ż.'!$C$28,1)+COUNTIF('8pow. 50 r.ż.'!$C$3:'8pow. 50 r.ż.'!C27,'8pow. 50 r.ż.'!C27)-1</f>
        <v>3</v>
      </c>
      <c r="C28" s="5" t="str">
        <f>INDEX('8pow. 50 r.ż.'!B3:G28,MATCH(25,B4:B29,0),1)</f>
        <v>Rzeszów</v>
      </c>
      <c r="D28" s="6">
        <f>INDEX('8pow. 50 r.ż.'!B3:G28,MATCH(25,B4:B29,0),2)</f>
        <v>1347</v>
      </c>
      <c r="E28" s="61">
        <f>INDEX('8pow. 50 r.ż.'!B3:G28,MATCH(25,B4:B29,0),3)</f>
        <v>1339</v>
      </c>
      <c r="F28" s="6">
        <f>INDEX('8pow. 50 r.ż.'!B3:G28,MATCH(25,B4:B29,0),4)</f>
        <v>8</v>
      </c>
      <c r="G28" s="61">
        <f>INDEX('8pow. 50 r.ż.'!B3:G28,MATCH(25,B4:B29,0),5)</f>
        <v>1494</v>
      </c>
      <c r="H28" s="6">
        <f>INDEX('8pow. 50 r.ż.'!B3:G28,MATCH(25,B4:B29,0),6)</f>
        <v>-147</v>
      </c>
    </row>
    <row r="29" spans="2:8" ht="15" x14ac:dyDescent="0.25">
      <c r="B29" s="59">
        <f>RANK('8pow. 50 r.ż.'!C28,'8pow. 50 r.ż.'!$C$3:'8pow. 50 r.ż.'!$C$28,1)+COUNTIF('8pow. 50 r.ż.'!$C$3:'8pow. 50 r.ż.'!C28,'8pow. 50 r.ż.'!C28)-1</f>
        <v>26</v>
      </c>
      <c r="C29" s="58" t="str">
        <f>INDEX('8pow. 50 r.ż.'!B3:G28,MATCH(26,B4:B29,0),1)</f>
        <v>województwo</v>
      </c>
      <c r="D29" s="59">
        <f>INDEX('8pow. 50 r.ż.'!B3:G28,MATCH(26,B4:B29,0),2)</f>
        <v>15930</v>
      </c>
      <c r="E29" s="63">
        <f>INDEX('8pow. 50 r.ż.'!B3:G28,MATCH(26,B4:B29,0),3)</f>
        <v>15842</v>
      </c>
      <c r="F29" s="59">
        <f>INDEX('8pow. 50 r.ż.'!B3:G28,MATCH(26,B4:B29,0),4)</f>
        <v>88</v>
      </c>
      <c r="G29" s="63">
        <f>INDEX('8pow. 50 r.ż.'!B3:G28,MATCH(26,B4:B29,0),5)</f>
        <v>16619</v>
      </c>
      <c r="H29" s="59">
        <f>INDEX('8pow. 50 r.ż.'!B3:G28,MATCH(26,B4:B29,0),6)</f>
        <v>-689</v>
      </c>
    </row>
  </sheetData>
  <pageMargins left="0" right="0" top="0.31496062992125984" bottom="0" header="0" footer="0"/>
  <pageSetup paperSize="9" scale="6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C00"/>
    <pageSetUpPr fitToPage="1"/>
  </sheetPr>
  <dimension ref="B1:H31"/>
  <sheetViews>
    <sheetView zoomScale="80" zoomScaleNormal="80" workbookViewId="0">
      <selection activeCell="B1" sqref="B1"/>
    </sheetView>
  </sheetViews>
  <sheetFormatPr defaultRowHeight="14.25" x14ac:dyDescent="0.2"/>
  <cols>
    <col min="1" max="1" width="2.5703125" style="3" customWidth="1"/>
    <col min="2" max="2" width="25.140625" style="3" customWidth="1"/>
    <col min="3" max="4" width="11.5703125" style="3" customWidth="1"/>
    <col min="5" max="5" width="17.28515625" style="3" customWidth="1"/>
    <col min="6" max="6" width="12" style="3" customWidth="1"/>
    <col min="7" max="7" width="17.140625" style="3" customWidth="1"/>
    <col min="8" max="8" width="3.85546875" style="3" customWidth="1"/>
    <col min="9" max="16384" width="9.140625" style="3"/>
  </cols>
  <sheetData>
    <row r="1" spans="2:8" ht="20.25" customHeight="1" x14ac:dyDescent="0.2">
      <c r="B1" s="1" t="s">
        <v>30</v>
      </c>
      <c r="C1" s="42"/>
      <c r="D1" s="42"/>
      <c r="E1" s="42"/>
      <c r="F1" s="42"/>
      <c r="G1" s="42"/>
    </row>
    <row r="2" spans="2:8" ht="57" x14ac:dyDescent="0.2">
      <c r="B2" s="55" t="s">
        <v>27</v>
      </c>
      <c r="C2" s="56" t="s">
        <v>140</v>
      </c>
      <c r="D2" s="57" t="s">
        <v>106</v>
      </c>
      <c r="E2" s="56" t="s">
        <v>28</v>
      </c>
      <c r="F2" s="57" t="s">
        <v>141</v>
      </c>
      <c r="G2" s="56" t="s">
        <v>26</v>
      </c>
    </row>
    <row r="3" spans="2:8" x14ac:dyDescent="0.2">
      <c r="B3" s="5" t="s">
        <v>0</v>
      </c>
      <c r="C3" s="45">
        <v>15</v>
      </c>
      <c r="D3" s="61">
        <v>27</v>
      </c>
      <c r="E3" s="45">
        <f t="shared" ref="E3:E27" si="0">SUM(C3)-D3</f>
        <v>-12</v>
      </c>
      <c r="F3" s="61">
        <v>35</v>
      </c>
      <c r="G3" s="45">
        <f t="shared" ref="G3:G27" si="1">SUM(C3)-F3</f>
        <v>-20</v>
      </c>
      <c r="H3" s="7"/>
    </row>
    <row r="4" spans="2:8" x14ac:dyDescent="0.2">
      <c r="B4" s="5" t="s">
        <v>1</v>
      </c>
      <c r="C4" s="45">
        <v>40</v>
      </c>
      <c r="D4" s="61">
        <v>73</v>
      </c>
      <c r="E4" s="45">
        <f t="shared" si="0"/>
        <v>-33</v>
      </c>
      <c r="F4" s="61">
        <v>70</v>
      </c>
      <c r="G4" s="45">
        <f t="shared" si="1"/>
        <v>-30</v>
      </c>
      <c r="H4" s="7"/>
    </row>
    <row r="5" spans="2:8" x14ac:dyDescent="0.2">
      <c r="B5" s="5" t="s">
        <v>2</v>
      </c>
      <c r="C5" s="45">
        <v>342</v>
      </c>
      <c r="D5" s="61">
        <v>259</v>
      </c>
      <c r="E5" s="45">
        <f t="shared" si="0"/>
        <v>83</v>
      </c>
      <c r="F5" s="61">
        <v>322</v>
      </c>
      <c r="G5" s="45">
        <f t="shared" si="1"/>
        <v>20</v>
      </c>
      <c r="H5" s="7"/>
    </row>
    <row r="6" spans="2:8" x14ac:dyDescent="0.2">
      <c r="B6" s="5" t="s">
        <v>3</v>
      </c>
      <c r="C6" s="45">
        <v>322</v>
      </c>
      <c r="D6" s="61">
        <v>200</v>
      </c>
      <c r="E6" s="45">
        <f t="shared" si="0"/>
        <v>122</v>
      </c>
      <c r="F6" s="61">
        <v>230</v>
      </c>
      <c r="G6" s="45">
        <f t="shared" si="1"/>
        <v>92</v>
      </c>
      <c r="H6" s="7"/>
    </row>
    <row r="7" spans="2:8" x14ac:dyDescent="0.2">
      <c r="B7" s="5" t="s">
        <v>4</v>
      </c>
      <c r="C7" s="45">
        <v>232</v>
      </c>
      <c r="D7" s="61">
        <v>263</v>
      </c>
      <c r="E7" s="45">
        <f t="shared" si="0"/>
        <v>-31</v>
      </c>
      <c r="F7" s="61">
        <v>273</v>
      </c>
      <c r="G7" s="45">
        <f t="shared" si="1"/>
        <v>-41</v>
      </c>
      <c r="H7" s="7"/>
    </row>
    <row r="8" spans="2:8" x14ac:dyDescent="0.2">
      <c r="B8" s="5" t="s">
        <v>5</v>
      </c>
      <c r="C8" s="45">
        <v>71</v>
      </c>
      <c r="D8" s="61">
        <v>87</v>
      </c>
      <c r="E8" s="45">
        <f t="shared" si="0"/>
        <v>-16</v>
      </c>
      <c r="F8" s="61">
        <v>85</v>
      </c>
      <c r="G8" s="45">
        <f t="shared" si="1"/>
        <v>-14</v>
      </c>
      <c r="H8" s="7"/>
    </row>
    <row r="9" spans="2:8" x14ac:dyDescent="0.2">
      <c r="B9" s="9" t="s">
        <v>6</v>
      </c>
      <c r="C9" s="45">
        <v>76</v>
      </c>
      <c r="D9" s="61">
        <v>127</v>
      </c>
      <c r="E9" s="45">
        <f t="shared" si="0"/>
        <v>-51</v>
      </c>
      <c r="F9" s="61">
        <v>38</v>
      </c>
      <c r="G9" s="45">
        <f t="shared" si="1"/>
        <v>38</v>
      </c>
      <c r="H9" s="7"/>
    </row>
    <row r="10" spans="2:8" x14ac:dyDescent="0.2">
      <c r="B10" s="5" t="s">
        <v>7</v>
      </c>
      <c r="C10" s="45">
        <v>18</v>
      </c>
      <c r="D10" s="61">
        <v>40</v>
      </c>
      <c r="E10" s="45">
        <f t="shared" si="0"/>
        <v>-22</v>
      </c>
      <c r="F10" s="61">
        <v>24</v>
      </c>
      <c r="G10" s="45">
        <f t="shared" si="1"/>
        <v>-6</v>
      </c>
      <c r="H10" s="7"/>
    </row>
    <row r="11" spans="2:8" x14ac:dyDescent="0.2">
      <c r="B11" s="5" t="s">
        <v>8</v>
      </c>
      <c r="C11" s="45">
        <v>62</v>
      </c>
      <c r="D11" s="61">
        <v>122</v>
      </c>
      <c r="E11" s="45">
        <f t="shared" si="0"/>
        <v>-60</v>
      </c>
      <c r="F11" s="61">
        <v>123</v>
      </c>
      <c r="G11" s="45">
        <f t="shared" si="1"/>
        <v>-61</v>
      </c>
      <c r="H11" s="7"/>
    </row>
    <row r="12" spans="2:8" x14ac:dyDescent="0.2">
      <c r="B12" s="5" t="s">
        <v>9</v>
      </c>
      <c r="C12" s="45">
        <v>65</v>
      </c>
      <c r="D12" s="61">
        <v>75</v>
      </c>
      <c r="E12" s="45">
        <f t="shared" si="0"/>
        <v>-10</v>
      </c>
      <c r="F12" s="61">
        <v>63</v>
      </c>
      <c r="G12" s="45">
        <f t="shared" si="1"/>
        <v>2</v>
      </c>
      <c r="H12" s="7"/>
    </row>
    <row r="13" spans="2:8" x14ac:dyDescent="0.2">
      <c r="B13" s="5" t="s">
        <v>10</v>
      </c>
      <c r="C13" s="45">
        <v>36</v>
      </c>
      <c r="D13" s="61">
        <v>58</v>
      </c>
      <c r="E13" s="45">
        <f t="shared" si="0"/>
        <v>-22</v>
      </c>
      <c r="F13" s="61">
        <v>91</v>
      </c>
      <c r="G13" s="45">
        <f t="shared" si="1"/>
        <v>-55</v>
      </c>
      <c r="H13" s="7"/>
    </row>
    <row r="14" spans="2:8" x14ac:dyDescent="0.2">
      <c r="B14" s="5" t="s">
        <v>11</v>
      </c>
      <c r="C14" s="45">
        <v>389</v>
      </c>
      <c r="D14" s="61">
        <v>245</v>
      </c>
      <c r="E14" s="45">
        <f t="shared" si="0"/>
        <v>144</v>
      </c>
      <c r="F14" s="61">
        <v>277</v>
      </c>
      <c r="G14" s="45">
        <f t="shared" si="1"/>
        <v>112</v>
      </c>
      <c r="H14" s="7"/>
    </row>
    <row r="15" spans="2:8" x14ac:dyDescent="0.2">
      <c r="B15" s="5" t="s">
        <v>12</v>
      </c>
      <c r="C15" s="45">
        <v>80</v>
      </c>
      <c r="D15" s="61">
        <v>81</v>
      </c>
      <c r="E15" s="45">
        <f t="shared" si="0"/>
        <v>-1</v>
      </c>
      <c r="F15" s="61">
        <v>80</v>
      </c>
      <c r="G15" s="45">
        <f t="shared" si="1"/>
        <v>0</v>
      </c>
      <c r="H15" s="7"/>
    </row>
    <row r="16" spans="2:8" x14ac:dyDescent="0.2">
      <c r="B16" s="5" t="s">
        <v>13</v>
      </c>
      <c r="C16" s="45">
        <v>28</v>
      </c>
      <c r="D16" s="61">
        <v>47</v>
      </c>
      <c r="E16" s="45">
        <f t="shared" si="0"/>
        <v>-19</v>
      </c>
      <c r="F16" s="61">
        <v>41</v>
      </c>
      <c r="G16" s="45">
        <f t="shared" si="1"/>
        <v>-13</v>
      </c>
      <c r="H16" s="7"/>
    </row>
    <row r="17" spans="2:8" x14ac:dyDescent="0.2">
      <c r="B17" s="5" t="s">
        <v>14</v>
      </c>
      <c r="C17" s="45">
        <v>228</v>
      </c>
      <c r="D17" s="61">
        <v>222</v>
      </c>
      <c r="E17" s="45">
        <f t="shared" si="0"/>
        <v>6</v>
      </c>
      <c r="F17" s="61">
        <v>191</v>
      </c>
      <c r="G17" s="45">
        <f t="shared" si="1"/>
        <v>37</v>
      </c>
      <c r="H17" s="7"/>
    </row>
    <row r="18" spans="2:8" x14ac:dyDescent="0.2">
      <c r="B18" s="5" t="s">
        <v>15</v>
      </c>
      <c r="C18" s="45">
        <v>188</v>
      </c>
      <c r="D18" s="61">
        <v>96</v>
      </c>
      <c r="E18" s="45">
        <f t="shared" si="0"/>
        <v>92</v>
      </c>
      <c r="F18" s="61">
        <v>185</v>
      </c>
      <c r="G18" s="45">
        <f t="shared" si="1"/>
        <v>3</v>
      </c>
      <c r="H18" s="7"/>
    </row>
    <row r="19" spans="2:8" x14ac:dyDescent="0.2">
      <c r="B19" s="5" t="s">
        <v>16</v>
      </c>
      <c r="C19" s="45">
        <v>154</v>
      </c>
      <c r="D19" s="61">
        <v>137</v>
      </c>
      <c r="E19" s="45">
        <f t="shared" si="0"/>
        <v>17</v>
      </c>
      <c r="F19" s="61">
        <v>135</v>
      </c>
      <c r="G19" s="45">
        <f t="shared" si="1"/>
        <v>19</v>
      </c>
      <c r="H19" s="7"/>
    </row>
    <row r="20" spans="2:8" x14ac:dyDescent="0.2">
      <c r="B20" s="5" t="s">
        <v>17</v>
      </c>
      <c r="C20" s="45">
        <v>69</v>
      </c>
      <c r="D20" s="61">
        <v>115</v>
      </c>
      <c r="E20" s="45">
        <f t="shared" si="0"/>
        <v>-46</v>
      </c>
      <c r="F20" s="61">
        <v>84</v>
      </c>
      <c r="G20" s="45">
        <f t="shared" si="1"/>
        <v>-15</v>
      </c>
      <c r="H20" s="7"/>
    </row>
    <row r="21" spans="2:8" x14ac:dyDescent="0.2">
      <c r="B21" s="5" t="s">
        <v>18</v>
      </c>
      <c r="C21" s="45">
        <v>102</v>
      </c>
      <c r="D21" s="61">
        <v>113</v>
      </c>
      <c r="E21" s="45">
        <f t="shared" si="0"/>
        <v>-11</v>
      </c>
      <c r="F21" s="61">
        <v>107</v>
      </c>
      <c r="G21" s="45">
        <f t="shared" si="1"/>
        <v>-5</v>
      </c>
      <c r="H21" s="7"/>
    </row>
    <row r="22" spans="2:8" x14ac:dyDescent="0.2">
      <c r="B22" s="5" t="s">
        <v>19</v>
      </c>
      <c r="C22" s="45">
        <v>112</v>
      </c>
      <c r="D22" s="61">
        <v>167</v>
      </c>
      <c r="E22" s="45">
        <f t="shared" si="0"/>
        <v>-55</v>
      </c>
      <c r="F22" s="61">
        <v>145</v>
      </c>
      <c r="G22" s="45">
        <f t="shared" si="1"/>
        <v>-33</v>
      </c>
      <c r="H22" s="7"/>
    </row>
    <row r="23" spans="2:8" x14ac:dyDescent="0.2">
      <c r="B23" s="5" t="s">
        <v>20</v>
      </c>
      <c r="C23" s="45">
        <v>103</v>
      </c>
      <c r="D23" s="61">
        <v>122</v>
      </c>
      <c r="E23" s="45">
        <f t="shared" si="0"/>
        <v>-19</v>
      </c>
      <c r="F23" s="61">
        <v>73</v>
      </c>
      <c r="G23" s="45">
        <f t="shared" si="1"/>
        <v>30</v>
      </c>
      <c r="H23" s="7"/>
    </row>
    <row r="24" spans="2:8" x14ac:dyDescent="0.2">
      <c r="B24" s="5" t="s">
        <v>21</v>
      </c>
      <c r="C24" s="45">
        <v>52</v>
      </c>
      <c r="D24" s="61">
        <v>50</v>
      </c>
      <c r="E24" s="45">
        <f t="shared" si="0"/>
        <v>2</v>
      </c>
      <c r="F24" s="61">
        <v>53</v>
      </c>
      <c r="G24" s="45">
        <f t="shared" si="1"/>
        <v>-1</v>
      </c>
      <c r="H24" s="7"/>
    </row>
    <row r="25" spans="2:8" x14ac:dyDescent="0.2">
      <c r="B25" s="5" t="s">
        <v>22</v>
      </c>
      <c r="C25" s="45">
        <v>82</v>
      </c>
      <c r="D25" s="61">
        <v>96</v>
      </c>
      <c r="E25" s="45">
        <f t="shared" si="0"/>
        <v>-14</v>
      </c>
      <c r="F25" s="61">
        <v>85</v>
      </c>
      <c r="G25" s="45">
        <f t="shared" si="1"/>
        <v>-3</v>
      </c>
      <c r="H25" s="7"/>
    </row>
    <row r="26" spans="2:8" x14ac:dyDescent="0.2">
      <c r="B26" s="5" t="s">
        <v>23</v>
      </c>
      <c r="C26" s="45">
        <v>621</v>
      </c>
      <c r="D26" s="61">
        <v>580</v>
      </c>
      <c r="E26" s="45">
        <f t="shared" si="0"/>
        <v>41</v>
      </c>
      <c r="F26" s="61">
        <v>965</v>
      </c>
      <c r="G26" s="45">
        <f t="shared" si="1"/>
        <v>-344</v>
      </c>
      <c r="H26" s="7"/>
    </row>
    <row r="27" spans="2:8" x14ac:dyDescent="0.2">
      <c r="B27" s="5" t="s">
        <v>24</v>
      </c>
      <c r="C27" s="45">
        <v>86</v>
      </c>
      <c r="D27" s="61">
        <v>72</v>
      </c>
      <c r="E27" s="45">
        <f t="shared" si="0"/>
        <v>14</v>
      </c>
      <c r="F27" s="61">
        <v>184</v>
      </c>
      <c r="G27" s="45">
        <f t="shared" si="1"/>
        <v>-98</v>
      </c>
      <c r="H27" s="7"/>
    </row>
    <row r="28" spans="2:8" ht="15" x14ac:dyDescent="0.25">
      <c r="B28" s="58" t="s">
        <v>25</v>
      </c>
      <c r="C28" s="77">
        <f>SUM(C3:C27)</f>
        <v>3573</v>
      </c>
      <c r="D28" s="63">
        <f>SUM(D3:D27)</f>
        <v>3474</v>
      </c>
      <c r="E28" s="77">
        <f>SUM(E3:E27)</f>
        <v>99</v>
      </c>
      <c r="F28" s="63">
        <f>SUM(F3:F27)</f>
        <v>3959</v>
      </c>
      <c r="G28" s="77">
        <f>SUM(G3:G27)</f>
        <v>-386</v>
      </c>
      <c r="H28" s="7"/>
    </row>
    <row r="29" spans="2:8" ht="12" customHeight="1" x14ac:dyDescent="0.2">
      <c r="B29" s="4"/>
      <c r="E29" s="7"/>
      <c r="G29" s="7"/>
    </row>
    <row r="30" spans="2:8" ht="9" customHeight="1" x14ac:dyDescent="0.2">
      <c r="B30" s="4"/>
    </row>
    <row r="31" spans="2:8" ht="12.75" customHeight="1" x14ac:dyDescent="0.2">
      <c r="B31" s="4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EE9B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.140625" style="3" customWidth="1"/>
    <col min="2" max="2" width="6.5703125" style="3" customWidth="1"/>
    <col min="3" max="3" width="24.42578125" style="3" customWidth="1"/>
    <col min="4" max="4" width="12" style="3" customWidth="1"/>
    <col min="5" max="5" width="11.5703125" style="3" customWidth="1"/>
    <col min="6" max="6" width="17" style="3" customWidth="1"/>
    <col min="7" max="7" width="11.5703125" style="3" customWidth="1"/>
    <col min="8" max="8" width="17.140625" style="3" customWidth="1"/>
    <col min="9" max="9" width="6.7109375" style="3" customWidth="1"/>
    <col min="10" max="11" width="5.85546875" style="3" customWidth="1"/>
    <col min="12" max="18" width="9.140625" style="3"/>
    <col min="19" max="19" width="7.140625" style="3" customWidth="1"/>
    <col min="20" max="20" width="2" style="3" customWidth="1"/>
    <col min="21" max="16384" width="9.140625" style="3"/>
  </cols>
  <sheetData>
    <row r="1" spans="2:8" x14ac:dyDescent="0.2">
      <c r="B1" s="4" t="s">
        <v>30</v>
      </c>
    </row>
    <row r="2" spans="2:8" ht="15" x14ac:dyDescent="0.2">
      <c r="C2" s="20"/>
      <c r="D2" s="21"/>
    </row>
    <row r="3" spans="2:8" ht="57" x14ac:dyDescent="0.2">
      <c r="B3" s="62" t="s">
        <v>86</v>
      </c>
      <c r="C3" s="55" t="str">
        <f>T('9oferty p.'!B2)</f>
        <v>powiaty</v>
      </c>
      <c r="D3" s="55" t="str">
        <f>T('9oferty p.'!C2)</f>
        <v>liczba ofert w X '23 r.</v>
      </c>
      <c r="E3" s="55" t="str">
        <f>T('9oferty p.'!D2)</f>
        <v>liczba ofert w IX '23 r.</v>
      </c>
      <c r="F3" s="55" t="str">
        <f>T('9oferty p.'!E2)</f>
        <v>wzrost/spadek do poprzedniego  miesiąca</v>
      </c>
      <c r="G3" s="55" t="str">
        <f>T('9oferty p.'!F2)</f>
        <v>liczba ofert w X '22 r.</v>
      </c>
      <c r="H3" s="55" t="str">
        <f>T('9oferty p.'!G2)</f>
        <v>wzrost/spadek do analogicznego okresu ubr.</v>
      </c>
    </row>
    <row r="4" spans="2:8" x14ac:dyDescent="0.2">
      <c r="B4" s="6">
        <f>RANK('9oferty p.'!C3,'9oferty p.'!$C$3:'9oferty p.'!$C$28,1)+COUNTIF('9oferty p.'!$C$3:'9oferty p.'!C3,'9oferty p.'!C3)-1</f>
        <v>1</v>
      </c>
      <c r="C4" s="5" t="str">
        <f>INDEX('9oferty p.'!B3:G28,MATCH(1,B4:B29,0),1)</f>
        <v>bieszczadzki</v>
      </c>
      <c r="D4" s="25">
        <f>INDEX('9oferty p.'!B3:G28,MATCH(1,B4:B29,0),2)</f>
        <v>15</v>
      </c>
      <c r="E4" s="61">
        <f>INDEX('9oferty p.'!B3:G28,MATCH(1,B4:B29,0),3)</f>
        <v>27</v>
      </c>
      <c r="F4" s="6">
        <f>INDEX('9oferty p.'!B3:G28,MATCH(1,B4:B29,0),4)</f>
        <v>-12</v>
      </c>
      <c r="G4" s="61">
        <f>INDEX('9oferty p.'!B3:G28,MATCH(1,B4:B29,0),5)</f>
        <v>35</v>
      </c>
      <c r="H4" s="6">
        <f>INDEX('9oferty p.'!B3:G28,MATCH(1,B4:B29,0),6)</f>
        <v>-20</v>
      </c>
    </row>
    <row r="5" spans="2:8" x14ac:dyDescent="0.2">
      <c r="B5" s="6">
        <f>RANK('9oferty p.'!C4,'9oferty p.'!$C$3:'9oferty p.'!$C$28,1)+COUNTIF('9oferty p.'!$C$3:'9oferty p.'!C4,'9oferty p.'!C4)-1</f>
        <v>5</v>
      </c>
      <c r="C5" s="5" t="str">
        <f>INDEX('9oferty p.'!B3:G28,MATCH(2,B4:B29,0),1)</f>
        <v>leski</v>
      </c>
      <c r="D5" s="6">
        <f>INDEX('9oferty p.'!B3:G28,MATCH(2,B4:B29,0),2)</f>
        <v>18</v>
      </c>
      <c r="E5" s="61">
        <f>INDEX('9oferty p.'!B3:G28,MATCH(2,B4:B29,0),3)</f>
        <v>40</v>
      </c>
      <c r="F5" s="6">
        <f>INDEX('9oferty p.'!B3:G28,MATCH(2,B4:B29,0),4)</f>
        <v>-22</v>
      </c>
      <c r="G5" s="61">
        <f>INDEX('9oferty p.'!B3:G28,MATCH(2,B4:B29,0),5)</f>
        <v>24</v>
      </c>
      <c r="H5" s="6">
        <f>INDEX('9oferty p.'!B3:G28,MATCH(2,B4:B29,0),6)</f>
        <v>-6</v>
      </c>
    </row>
    <row r="6" spans="2:8" x14ac:dyDescent="0.2">
      <c r="B6" s="6">
        <f>RANK('9oferty p.'!C5,'9oferty p.'!$C$3:'9oferty p.'!$C$28,1)+COUNTIF('9oferty p.'!$C$3:'9oferty p.'!C5,'9oferty p.'!C5)-1</f>
        <v>23</v>
      </c>
      <c r="C6" s="5" t="str">
        <f>INDEX('9oferty p.'!B3:G28,MATCH(3,B4:B29,0),1)</f>
        <v>przemyski</v>
      </c>
      <c r="D6" s="6">
        <f>INDEX('9oferty p.'!B3:G28,MATCH(3,B4:B29,0),2)</f>
        <v>28</v>
      </c>
      <c r="E6" s="61">
        <f>INDEX('9oferty p.'!B3:G28,MATCH(3,B4:B29,0),3)</f>
        <v>47</v>
      </c>
      <c r="F6" s="6">
        <f>INDEX('9oferty p.'!B3:G28,MATCH(3,B4:B29,0),4)</f>
        <v>-19</v>
      </c>
      <c r="G6" s="61">
        <f>INDEX('9oferty p.'!B3:G28,MATCH(3,B4:B29,0),5)</f>
        <v>41</v>
      </c>
      <c r="H6" s="6">
        <f>INDEX('9oferty p.'!B3:G28,MATCH(3,B4:B29,0),6)</f>
        <v>-13</v>
      </c>
    </row>
    <row r="7" spans="2:8" x14ac:dyDescent="0.2">
      <c r="B7" s="6">
        <f>RANK('9oferty p.'!C6,'9oferty p.'!$C$3:'9oferty p.'!$C$28,1)+COUNTIF('9oferty p.'!$C$3:'9oferty p.'!C6,'9oferty p.'!C6)-1</f>
        <v>22</v>
      </c>
      <c r="C7" s="5" t="str">
        <f>INDEX('9oferty p.'!B3:G28,MATCH(4,B4:B29,0),1)</f>
        <v>łańcucki</v>
      </c>
      <c r="D7" s="6">
        <f>INDEX('9oferty p.'!B3:G28,MATCH(4,B4:B29,0),2)</f>
        <v>36</v>
      </c>
      <c r="E7" s="61">
        <f>INDEX('9oferty p.'!B3:G28,MATCH(4,B4:B29,0),3)</f>
        <v>58</v>
      </c>
      <c r="F7" s="6">
        <f>INDEX('9oferty p.'!B3:G28,MATCH(4,B4:B29,0),4)</f>
        <v>-22</v>
      </c>
      <c r="G7" s="61">
        <f>INDEX('9oferty p.'!B3:G28,MATCH(4,B4:B29,0),5)</f>
        <v>91</v>
      </c>
      <c r="H7" s="6">
        <f>INDEX('9oferty p.'!B3:G28,MATCH(4,B4:B29,0),6)</f>
        <v>-55</v>
      </c>
    </row>
    <row r="8" spans="2:8" x14ac:dyDescent="0.2">
      <c r="B8" s="6">
        <f>RANK('9oferty p.'!C7,'9oferty p.'!$C$3:'9oferty p.'!$C$28,1)+COUNTIF('9oferty p.'!$C$3:'9oferty p.'!C7,'9oferty p.'!C7)-1</f>
        <v>21</v>
      </c>
      <c r="C8" s="5" t="str">
        <f>INDEX('9oferty p.'!B3:G28,MATCH(5,B4:B29,0),1)</f>
        <v>brzozowski</v>
      </c>
      <c r="D8" s="6">
        <f>INDEX('9oferty p.'!B3:G28,MATCH(5,B4:B29,0),2)</f>
        <v>40</v>
      </c>
      <c r="E8" s="61">
        <f>INDEX('9oferty p.'!B3:G28,MATCH(5,B4:B29,0),3)</f>
        <v>73</v>
      </c>
      <c r="F8" s="6">
        <f>INDEX('9oferty p.'!B3:G28,MATCH(5,B4:B29,0),4)</f>
        <v>-33</v>
      </c>
      <c r="G8" s="61">
        <f>INDEX('9oferty p.'!B3:G28,MATCH(5,B4:B29,0),5)</f>
        <v>70</v>
      </c>
      <c r="H8" s="6">
        <f>INDEX('9oferty p.'!B3:G28,MATCH(5,B4:B29,0),6)</f>
        <v>-30</v>
      </c>
    </row>
    <row r="9" spans="2:8" x14ac:dyDescent="0.2">
      <c r="B9" s="6">
        <f>RANK('9oferty p.'!C8,'9oferty p.'!$C$3:'9oferty p.'!$C$28,1)+COUNTIF('9oferty p.'!$C$3:'9oferty p.'!C8,'9oferty p.'!C8)-1</f>
        <v>10</v>
      </c>
      <c r="C9" s="5" t="str">
        <f>INDEX('9oferty p.'!B3:G28,MATCH(6,B4:B29,0),1)</f>
        <v>Krosno</v>
      </c>
      <c r="D9" s="6">
        <f>INDEX('9oferty p.'!B3:G28,MATCH(6,B4:B29,0),2)</f>
        <v>52</v>
      </c>
      <c r="E9" s="61">
        <f>INDEX('9oferty p.'!B3:G28,MATCH(6,B4:B29,0),3)</f>
        <v>50</v>
      </c>
      <c r="F9" s="6">
        <f>INDEX('9oferty p.'!B3:G28,MATCH(6,B4:B29,0),4)</f>
        <v>2</v>
      </c>
      <c r="G9" s="61">
        <f>INDEX('9oferty p.'!B3:G28,MATCH(6,B4:B29,0),5)</f>
        <v>53</v>
      </c>
      <c r="H9" s="6">
        <f>INDEX('9oferty p.'!B3:G28,MATCH(6,B4:B29,0),6)</f>
        <v>-1</v>
      </c>
    </row>
    <row r="10" spans="2:8" x14ac:dyDescent="0.2">
      <c r="B10" s="6">
        <f>RANK('9oferty p.'!C9,'9oferty p.'!$C$3:'9oferty p.'!$C$28,1)+COUNTIF('9oferty p.'!$C$3:'9oferty p.'!C9,'9oferty p.'!C9)-1</f>
        <v>11</v>
      </c>
      <c r="C10" s="9" t="str">
        <f>INDEX('9oferty p.'!B3:G28,MATCH(7,B4:B29,0),1)</f>
        <v>leżajski</v>
      </c>
      <c r="D10" s="6">
        <f>INDEX('9oferty p.'!B3:G28,MATCH(7,B4:B29,0),2)</f>
        <v>62</v>
      </c>
      <c r="E10" s="61">
        <f>INDEX('9oferty p.'!B3:G28,MATCH(7,B4:B29,0),3)</f>
        <v>122</v>
      </c>
      <c r="F10" s="6">
        <f>INDEX('9oferty p.'!B3:G28,MATCH(7,B4:B29,0),4)</f>
        <v>-60</v>
      </c>
      <c r="G10" s="61">
        <f>INDEX('9oferty p.'!B3:G28,MATCH(7,B4:B29,0),5)</f>
        <v>123</v>
      </c>
      <c r="H10" s="6">
        <f>INDEX('9oferty p.'!B3:G28,MATCH(7,B4:B29,0),6)</f>
        <v>-61</v>
      </c>
    </row>
    <row r="11" spans="2:8" x14ac:dyDescent="0.2">
      <c r="B11" s="6">
        <f>RANK('9oferty p.'!C10,'9oferty p.'!$C$3:'9oferty p.'!$C$28,1)+COUNTIF('9oferty p.'!$C$3:'9oferty p.'!C10,'9oferty p.'!C10)-1</f>
        <v>2</v>
      </c>
      <c r="C11" s="5" t="str">
        <f>INDEX('9oferty p.'!B3:G28,MATCH(8,B4:B29,0),1)</f>
        <v>lubaczowski</v>
      </c>
      <c r="D11" s="6">
        <f>INDEX('9oferty p.'!B3:G28,MATCH(8,B4:B29,0),2)</f>
        <v>65</v>
      </c>
      <c r="E11" s="61">
        <f>INDEX('9oferty p.'!B3:G28,MATCH(8,B4:B29,0),3)</f>
        <v>75</v>
      </c>
      <c r="F11" s="6">
        <f>INDEX('9oferty p.'!B3:G28,MATCH(8,B4:B29,0),4)</f>
        <v>-10</v>
      </c>
      <c r="G11" s="61">
        <f>INDEX('9oferty p.'!B3:G28,MATCH(8,B4:B29,0),5)</f>
        <v>63</v>
      </c>
      <c r="H11" s="6">
        <f>INDEX('9oferty p.'!B3:G28,MATCH(8,B4:B29,0),6)</f>
        <v>2</v>
      </c>
    </row>
    <row r="12" spans="2:8" x14ac:dyDescent="0.2">
      <c r="B12" s="6">
        <f>RANK('9oferty p.'!C11,'9oferty p.'!$C$3:'9oferty p.'!$C$28,1)+COUNTIF('9oferty p.'!$C$3:'9oferty p.'!C11,'9oferty p.'!C11)-1</f>
        <v>7</v>
      </c>
      <c r="C12" s="5" t="str">
        <f>INDEX('9oferty p.'!B3:G28,MATCH(9,B4:B29,0),1)</f>
        <v>sanocki</v>
      </c>
      <c r="D12" s="6">
        <f>INDEX('9oferty p.'!B3:G28,MATCH(9,B4:B29,0),2)</f>
        <v>69</v>
      </c>
      <c r="E12" s="61">
        <f>INDEX('9oferty p.'!B3:G28,MATCH(9,B4:B29,0),3)</f>
        <v>115</v>
      </c>
      <c r="F12" s="6">
        <f>INDEX('9oferty p.'!B3:G28,MATCH(9,B4:B29,0),4)</f>
        <v>-46</v>
      </c>
      <c r="G12" s="61">
        <f>INDEX('9oferty p.'!B3:G28,MATCH(9,B4:B29,0),5)</f>
        <v>84</v>
      </c>
      <c r="H12" s="6">
        <f>INDEX('9oferty p.'!B3:G28,MATCH(9,B4:B29,0),6)</f>
        <v>-15</v>
      </c>
    </row>
    <row r="13" spans="2:8" x14ac:dyDescent="0.2">
      <c r="B13" s="6">
        <f>RANK('9oferty p.'!C12,'9oferty p.'!$C$3:'9oferty p.'!$C$28,1)+COUNTIF('9oferty p.'!$C$3:'9oferty p.'!C12,'9oferty p.'!C12)-1</f>
        <v>8</v>
      </c>
      <c r="C13" s="5" t="str">
        <f>INDEX('9oferty p.'!B3:G28,MATCH(10,B4:B29,0),1)</f>
        <v>kolbuszowski</v>
      </c>
      <c r="D13" s="6">
        <f>INDEX('9oferty p.'!B3:G28,MATCH(10,B4:B29,0),2)</f>
        <v>71</v>
      </c>
      <c r="E13" s="61">
        <f>INDEX('9oferty p.'!B3:G28,MATCH(10,B4:B29,0),3)</f>
        <v>87</v>
      </c>
      <c r="F13" s="6">
        <f>INDEX('9oferty p.'!B3:G28,MATCH(10,B4:B29,0),4)</f>
        <v>-16</v>
      </c>
      <c r="G13" s="61">
        <f>INDEX('9oferty p.'!B3:G28,MATCH(10,B4:B29,0),5)</f>
        <v>85</v>
      </c>
      <c r="H13" s="6">
        <f>INDEX('9oferty p.'!B3:G28,MATCH(10,B4:B29,0),6)</f>
        <v>-14</v>
      </c>
    </row>
    <row r="14" spans="2:8" x14ac:dyDescent="0.2">
      <c r="B14" s="6">
        <f>RANK('9oferty p.'!C13,'9oferty p.'!$C$3:'9oferty p.'!$C$28,1)+COUNTIF('9oferty p.'!$C$3:'9oferty p.'!C13,'9oferty p.'!C13)-1</f>
        <v>4</v>
      </c>
      <c r="C14" s="5" t="str">
        <f>INDEX('9oferty p.'!B3:G28,MATCH(11,B4:B29,0),1)</f>
        <v>krośnieński</v>
      </c>
      <c r="D14" s="6">
        <f>INDEX('9oferty p.'!B3:G28,MATCH(11,B4:B29,0),2)</f>
        <v>76</v>
      </c>
      <c r="E14" s="61">
        <f>INDEX('9oferty p.'!B3:G28,MATCH(11,B4:B29,0),3)</f>
        <v>127</v>
      </c>
      <c r="F14" s="6">
        <f>INDEX('9oferty p.'!B3:G28,MATCH(11,B4:B29,0),4)</f>
        <v>-51</v>
      </c>
      <c r="G14" s="61">
        <f>INDEX('9oferty p.'!B3:G28,MATCH(11,B4:B29,0),5)</f>
        <v>38</v>
      </c>
      <c r="H14" s="6">
        <f>INDEX('9oferty p.'!B3:G28,MATCH(11,B4:B29,0),6)</f>
        <v>38</v>
      </c>
    </row>
    <row r="15" spans="2:8" x14ac:dyDescent="0.2">
      <c r="B15" s="6">
        <f>RANK('9oferty p.'!C14,'9oferty p.'!$C$3:'9oferty p.'!$C$28,1)+COUNTIF('9oferty p.'!$C$3:'9oferty p.'!C14,'9oferty p.'!C14)-1</f>
        <v>24</v>
      </c>
      <c r="C15" s="5" t="str">
        <f>INDEX('9oferty p.'!B3:G28,MATCH(12,B4:B29,0),1)</f>
        <v>niżański</v>
      </c>
      <c r="D15" s="6">
        <f>INDEX('9oferty p.'!B3:G28,MATCH(12,B4:B29,0),2)</f>
        <v>80</v>
      </c>
      <c r="E15" s="61">
        <f>INDEX('9oferty p.'!B3:G28,MATCH(12,B4:B29,0),3)</f>
        <v>81</v>
      </c>
      <c r="F15" s="6">
        <f>INDEX('9oferty p.'!B3:G28,MATCH(12,B4:B29,0),4)</f>
        <v>-1</v>
      </c>
      <c r="G15" s="61">
        <f>INDEX('9oferty p.'!B3:G28,MATCH(12,B4:B29,0),5)</f>
        <v>80</v>
      </c>
      <c r="H15" s="6">
        <f>INDEX('9oferty p.'!B3:G28,MATCH(12,B4:B29,0),6)</f>
        <v>0</v>
      </c>
    </row>
    <row r="16" spans="2:8" x14ac:dyDescent="0.2">
      <c r="B16" s="6">
        <f>RANK('9oferty p.'!C15,'9oferty p.'!$C$3:'9oferty p.'!$C$28,1)+COUNTIF('9oferty p.'!$C$3:'9oferty p.'!C15,'9oferty p.'!C15)-1</f>
        <v>12</v>
      </c>
      <c r="C16" s="5" t="str">
        <f>INDEX('9oferty p.'!B3:G28,MATCH(13,B4:B29,0),1)</f>
        <v>Przemyśl</v>
      </c>
      <c r="D16" s="6">
        <f>INDEX('9oferty p.'!B3:G28,MATCH(13,B4:B29,0),2)</f>
        <v>82</v>
      </c>
      <c r="E16" s="61">
        <f>INDEX('9oferty p.'!B3:G28,MATCH(13,B4:B29,0),3)</f>
        <v>96</v>
      </c>
      <c r="F16" s="6">
        <f>INDEX('9oferty p.'!B3:G28,MATCH(13,B4:B29,0),4)</f>
        <v>-14</v>
      </c>
      <c r="G16" s="61">
        <f>INDEX('9oferty p.'!B3:G28,MATCH(13,B4:B29,0),5)</f>
        <v>85</v>
      </c>
      <c r="H16" s="6">
        <f>INDEX('9oferty p.'!B3:G28,MATCH(13,B4:B29,0),6)</f>
        <v>-3</v>
      </c>
    </row>
    <row r="17" spans="2:8" x14ac:dyDescent="0.2">
      <c r="B17" s="6">
        <f>RANK('9oferty p.'!C16,'9oferty p.'!$C$3:'9oferty p.'!$C$28,1)+COUNTIF('9oferty p.'!$C$3:'9oferty p.'!C16,'9oferty p.'!C16)-1</f>
        <v>3</v>
      </c>
      <c r="C17" s="5" t="str">
        <f>INDEX('9oferty p.'!B3:G28,MATCH(14,B4:B29,0),1)</f>
        <v>Tarnobrzeg</v>
      </c>
      <c r="D17" s="6">
        <f>INDEX('9oferty p.'!B3:G28,MATCH(14,B4:B29,0),2)</f>
        <v>86</v>
      </c>
      <c r="E17" s="61">
        <f>INDEX('9oferty p.'!B3:G28,MATCH(14,B4:B29,0),3)</f>
        <v>72</v>
      </c>
      <c r="F17" s="6">
        <f>INDEX('9oferty p.'!B3:G28,MATCH(14,B4:B29,0),4)</f>
        <v>14</v>
      </c>
      <c r="G17" s="61">
        <f>INDEX('9oferty p.'!B3:G28,MATCH(14,B4:B29,0),5)</f>
        <v>184</v>
      </c>
      <c r="H17" s="6">
        <f>INDEX('9oferty p.'!B3:G28,MATCH(14,B4:B29,0),6)</f>
        <v>-98</v>
      </c>
    </row>
    <row r="18" spans="2:8" x14ac:dyDescent="0.2">
      <c r="B18" s="6">
        <f>RANK('9oferty p.'!C17,'9oferty p.'!$C$3:'9oferty p.'!$C$28,1)+COUNTIF('9oferty p.'!$C$3:'9oferty p.'!C17,'9oferty p.'!C17)-1</f>
        <v>20</v>
      </c>
      <c r="C18" s="5" t="str">
        <f>INDEX('9oferty p.'!B3:G28,MATCH(15,B4:B29,0),1)</f>
        <v>stalowowolski</v>
      </c>
      <c r="D18" s="6">
        <f>INDEX('9oferty p.'!B3:G28,MATCH(15,B4:B29,0),2)</f>
        <v>102</v>
      </c>
      <c r="E18" s="61">
        <f>INDEX('9oferty p.'!B3:G28,MATCH(15,B4:B29,0),3)</f>
        <v>113</v>
      </c>
      <c r="F18" s="6">
        <f>INDEX('9oferty p.'!B3:G28,MATCH(15,B4:B29,0),4)</f>
        <v>-11</v>
      </c>
      <c r="G18" s="61">
        <f>INDEX('9oferty p.'!B3:G28,MATCH(15,B4:B29,0),5)</f>
        <v>107</v>
      </c>
      <c r="H18" s="6">
        <f>INDEX('9oferty p.'!B3:G28,MATCH(15,B4:B29,0),6)</f>
        <v>-5</v>
      </c>
    </row>
    <row r="19" spans="2:8" x14ac:dyDescent="0.2">
      <c r="B19" s="6">
        <f>RANK('9oferty p.'!C18,'9oferty p.'!$C$3:'9oferty p.'!$C$28,1)+COUNTIF('9oferty p.'!$C$3:'9oferty p.'!C18,'9oferty p.'!C18)-1</f>
        <v>19</v>
      </c>
      <c r="C19" s="5" t="str">
        <f>INDEX('9oferty p.'!B3:G28,MATCH(16,B4:B29,0),1)</f>
        <v xml:space="preserve">tarnobrzeski </v>
      </c>
      <c r="D19" s="6">
        <f>INDEX('9oferty p.'!B3:G28,MATCH(16,B4:B29,0),2)</f>
        <v>103</v>
      </c>
      <c r="E19" s="61">
        <f>INDEX('9oferty p.'!B3:G28,MATCH(16,B4:B29,0),3)</f>
        <v>122</v>
      </c>
      <c r="F19" s="6">
        <f>INDEX('9oferty p.'!B3:G28,MATCH(16,B4:B29,0),4)</f>
        <v>-19</v>
      </c>
      <c r="G19" s="61">
        <f>INDEX('9oferty p.'!B3:G28,MATCH(16,B4:B29,0),5)</f>
        <v>73</v>
      </c>
      <c r="H19" s="6">
        <f>INDEX('9oferty p.'!B3:G28,MATCH(16,B4:B29,0),6)</f>
        <v>30</v>
      </c>
    </row>
    <row r="20" spans="2:8" x14ac:dyDescent="0.2">
      <c r="B20" s="6">
        <f>RANK('9oferty p.'!C19,'9oferty p.'!$C$3:'9oferty p.'!$C$28,1)+COUNTIF('9oferty p.'!$C$3:'9oferty p.'!C19,'9oferty p.'!C19)-1</f>
        <v>18</v>
      </c>
      <c r="C20" s="5" t="str">
        <f>INDEX('9oferty p.'!B3:G28,MATCH(17,B4:B29,0),1)</f>
        <v>strzyżowski</v>
      </c>
      <c r="D20" s="6">
        <f>INDEX('9oferty p.'!B3:G28,MATCH(17,B4:B29,0),2)</f>
        <v>112</v>
      </c>
      <c r="E20" s="61">
        <f>INDEX('9oferty p.'!B3:G28,MATCH(17,B4:B29,0),3)</f>
        <v>167</v>
      </c>
      <c r="F20" s="6">
        <f>INDEX('9oferty p.'!B3:G28,MATCH(17,B4:B29,0),4)</f>
        <v>-55</v>
      </c>
      <c r="G20" s="61">
        <f>INDEX('9oferty p.'!B3:G28,MATCH(17,B4:B29,0),5)</f>
        <v>145</v>
      </c>
      <c r="H20" s="6">
        <f>INDEX('9oferty p.'!B3:G28,MATCH(17,B4:B29,0),6)</f>
        <v>-33</v>
      </c>
    </row>
    <row r="21" spans="2:8" x14ac:dyDescent="0.2">
      <c r="B21" s="6">
        <f>RANK('9oferty p.'!C20,'9oferty p.'!$C$3:'9oferty p.'!$C$28,1)+COUNTIF('9oferty p.'!$C$3:'9oferty p.'!C20,'9oferty p.'!C20)-1</f>
        <v>9</v>
      </c>
      <c r="C21" s="5" t="str">
        <f>INDEX('9oferty p.'!B3:G28,MATCH(18,B4:B29,0),1)</f>
        <v>rzeszowski</v>
      </c>
      <c r="D21" s="6">
        <f>INDEX('9oferty p.'!B3:G28,MATCH(18,B4:B29,0),2)</f>
        <v>154</v>
      </c>
      <c r="E21" s="61">
        <f>INDEX('9oferty p.'!B3:G28,MATCH(18,B4:B29,0),3)</f>
        <v>137</v>
      </c>
      <c r="F21" s="6">
        <f>INDEX('9oferty p.'!B3:G28,MATCH(18,B4:B29,0),4)</f>
        <v>17</v>
      </c>
      <c r="G21" s="61">
        <f>INDEX('9oferty p.'!B3:G28,MATCH(18,B4:B29,0),5)</f>
        <v>135</v>
      </c>
      <c r="H21" s="6">
        <f>INDEX('9oferty p.'!B3:G28,MATCH(18,B4:B29,0),6)</f>
        <v>19</v>
      </c>
    </row>
    <row r="22" spans="2:8" x14ac:dyDescent="0.2">
      <c r="B22" s="6">
        <f>RANK('9oferty p.'!C21,'9oferty p.'!$C$3:'9oferty p.'!$C$28,1)+COUNTIF('9oferty p.'!$C$3:'9oferty p.'!C21,'9oferty p.'!C21)-1</f>
        <v>15</v>
      </c>
      <c r="C22" s="5" t="str">
        <f>INDEX('9oferty p.'!B3:G28,MATCH(19,B4:B29,0),1)</f>
        <v>ropczycko-sędziszowski</v>
      </c>
      <c r="D22" s="6">
        <f>INDEX('9oferty p.'!B3:G28,MATCH(19,B4:B29,0),2)</f>
        <v>188</v>
      </c>
      <c r="E22" s="61">
        <f>INDEX('9oferty p.'!B3:G28,MATCH(19,B4:B29,0),3)</f>
        <v>96</v>
      </c>
      <c r="F22" s="6">
        <f>INDEX('9oferty p.'!B3:G28,MATCH(19,B4:B29,0),4)</f>
        <v>92</v>
      </c>
      <c r="G22" s="61">
        <f>INDEX('9oferty p.'!B3:G28,MATCH(19,B4:B29,0),5)</f>
        <v>185</v>
      </c>
      <c r="H22" s="6">
        <f>INDEX('9oferty p.'!B3:G28,MATCH(19,B4:B29,0),6)</f>
        <v>3</v>
      </c>
    </row>
    <row r="23" spans="2:8" x14ac:dyDescent="0.2">
      <c r="B23" s="6">
        <f>RANK('9oferty p.'!C22,'9oferty p.'!$C$3:'9oferty p.'!$C$28,1)+COUNTIF('9oferty p.'!$C$3:'9oferty p.'!C22,'9oferty p.'!C22)-1</f>
        <v>17</v>
      </c>
      <c r="C23" s="5" t="str">
        <f>INDEX('9oferty p.'!B3:G28,MATCH(20,B4:B29,0),1)</f>
        <v>przeworski</v>
      </c>
      <c r="D23" s="6">
        <f>INDEX('9oferty p.'!B3:G28,MATCH(20,B4:B29,0),2)</f>
        <v>228</v>
      </c>
      <c r="E23" s="61">
        <f>INDEX('9oferty p.'!B3:G28,MATCH(20,B4:B29,0),3)</f>
        <v>222</v>
      </c>
      <c r="F23" s="6">
        <f>INDEX('9oferty p.'!B3:G28,MATCH(20,B4:B29,0),4)</f>
        <v>6</v>
      </c>
      <c r="G23" s="61">
        <f>INDEX('9oferty p.'!B3:G28,MATCH(20,B4:B29,0),5)</f>
        <v>191</v>
      </c>
      <c r="H23" s="6">
        <f>INDEX('9oferty p.'!B3:G28,MATCH(20,B4:B29,0),6)</f>
        <v>37</v>
      </c>
    </row>
    <row r="24" spans="2:8" x14ac:dyDescent="0.2">
      <c r="B24" s="6">
        <f>RANK('9oferty p.'!C23,'9oferty p.'!$C$3:'9oferty p.'!$C$28,1)+COUNTIF('9oferty p.'!$C$3:'9oferty p.'!C23,'9oferty p.'!C23)-1</f>
        <v>16</v>
      </c>
      <c r="C24" s="5" t="str">
        <f>INDEX('9oferty p.'!B3:G28,MATCH(21,B4:B29,0),1)</f>
        <v>jasielski</v>
      </c>
      <c r="D24" s="6">
        <f>INDEX('9oferty p.'!B3:G28,MATCH(21,B4:B29,0),2)</f>
        <v>232</v>
      </c>
      <c r="E24" s="61">
        <f>INDEX('9oferty p.'!B3:G28,MATCH(21,B4:B29,0),3)</f>
        <v>263</v>
      </c>
      <c r="F24" s="6">
        <f>INDEX('9oferty p.'!B3:G28,MATCH(21,B4:B29,0),4)</f>
        <v>-31</v>
      </c>
      <c r="G24" s="61">
        <f>INDEX('9oferty p.'!B3:G28,MATCH(21,B4:B29,0),5)</f>
        <v>273</v>
      </c>
      <c r="H24" s="6">
        <f>INDEX('9oferty p.'!B3:G28,MATCH(21,B4:B29,0),6)</f>
        <v>-41</v>
      </c>
    </row>
    <row r="25" spans="2:8" x14ac:dyDescent="0.2">
      <c r="B25" s="6">
        <f>RANK('9oferty p.'!C24,'9oferty p.'!$C$3:'9oferty p.'!$C$28,1)+COUNTIF('9oferty p.'!$C$3:'9oferty p.'!C24,'9oferty p.'!C24)-1</f>
        <v>6</v>
      </c>
      <c r="C25" s="5" t="str">
        <f>INDEX('9oferty p.'!B3:G28,MATCH(22,B4:B29,0),1)</f>
        <v>jarosławski</v>
      </c>
      <c r="D25" s="6">
        <f>INDEX('9oferty p.'!B3:G28,MATCH(22,B4:B29,0),2)</f>
        <v>322</v>
      </c>
      <c r="E25" s="61">
        <f>INDEX('9oferty p.'!B3:G28,MATCH(22,B4:B29,0),3)</f>
        <v>200</v>
      </c>
      <c r="F25" s="6">
        <f>INDEX('9oferty p.'!B3:G28,MATCH(22,B4:B29,0),4)</f>
        <v>122</v>
      </c>
      <c r="G25" s="61">
        <f>INDEX('9oferty p.'!B3:G28,MATCH(22,B4:B29,0),5)</f>
        <v>230</v>
      </c>
      <c r="H25" s="6">
        <f>INDEX('9oferty p.'!B3:G28,MATCH(22,B4:B29,0),6)</f>
        <v>92</v>
      </c>
    </row>
    <row r="26" spans="2:8" x14ac:dyDescent="0.2">
      <c r="B26" s="6">
        <f>RANK('9oferty p.'!C25,'9oferty p.'!$C$3:'9oferty p.'!$C$28,1)+COUNTIF('9oferty p.'!$C$3:'9oferty p.'!C25,'9oferty p.'!C25)-1</f>
        <v>13</v>
      </c>
      <c r="C26" s="5" t="str">
        <f>INDEX('9oferty p.'!B3:G28,MATCH(23,B4:B29,0),1)</f>
        <v>dębicki</v>
      </c>
      <c r="D26" s="6">
        <f>INDEX('9oferty p.'!B3:G28,MATCH(23,B4:B29,0),2)</f>
        <v>342</v>
      </c>
      <c r="E26" s="61">
        <f>INDEX('9oferty p.'!B3:G28,MATCH(23,B4:B29,0),3)</f>
        <v>259</v>
      </c>
      <c r="F26" s="6">
        <f>INDEX('9oferty p.'!B3:G28,MATCH(23,B4:B29,0),4)</f>
        <v>83</v>
      </c>
      <c r="G26" s="61">
        <f>INDEX('9oferty p.'!B3:G28,MATCH(23,B4:B29,0),5)</f>
        <v>322</v>
      </c>
      <c r="H26" s="6">
        <f>INDEX('9oferty p.'!B3:G28,MATCH(23,B4:B29,0),6)</f>
        <v>20</v>
      </c>
    </row>
    <row r="27" spans="2:8" x14ac:dyDescent="0.2">
      <c r="B27" s="6">
        <f>RANK('9oferty p.'!C26,'9oferty p.'!$C$3:'9oferty p.'!$C$28,1)+COUNTIF('9oferty p.'!$C$3:'9oferty p.'!C26,'9oferty p.'!C26)-1</f>
        <v>25</v>
      </c>
      <c r="C27" s="5" t="str">
        <f>INDEX('9oferty p.'!B3:G28,MATCH(24,B4:B29,0),1)</f>
        <v>mielecki</v>
      </c>
      <c r="D27" s="6">
        <f>INDEX('9oferty p.'!B3:G28,MATCH(24,B4:B29,0),2)</f>
        <v>389</v>
      </c>
      <c r="E27" s="61">
        <f>INDEX('9oferty p.'!B3:G28,MATCH(24,B4:B29,0),3)</f>
        <v>245</v>
      </c>
      <c r="F27" s="6">
        <f>INDEX('9oferty p.'!B3:G28,MATCH(24,B4:B29,0),4)</f>
        <v>144</v>
      </c>
      <c r="G27" s="61">
        <f>INDEX('9oferty p.'!B3:G28,MATCH(24,B4:B29,0),5)</f>
        <v>277</v>
      </c>
      <c r="H27" s="6">
        <f>INDEX('9oferty p.'!B3:G28,MATCH(24,B4:B29,0),6)</f>
        <v>112</v>
      </c>
    </row>
    <row r="28" spans="2:8" x14ac:dyDescent="0.2">
      <c r="B28" s="6">
        <f>RANK('9oferty p.'!C27,'9oferty p.'!$C$3:'9oferty p.'!$C$28,1)+COUNTIF('9oferty p.'!$C$3:'9oferty p.'!C27,'9oferty p.'!C27)-1</f>
        <v>14</v>
      </c>
      <c r="C28" s="5" t="str">
        <f>INDEX('9oferty p.'!B3:G28,MATCH(25,B4:B29,0),1)</f>
        <v>Rzeszów</v>
      </c>
      <c r="D28" s="6">
        <f>INDEX('9oferty p.'!B3:G28,MATCH(25,B4:B29,0),2)</f>
        <v>621</v>
      </c>
      <c r="E28" s="61">
        <f>INDEX('9oferty p.'!B3:G28,MATCH(25,B4:B29,0),3)</f>
        <v>580</v>
      </c>
      <c r="F28" s="6">
        <f>INDEX('9oferty p.'!B3:G28,MATCH(25,B4:B29,0),4)</f>
        <v>41</v>
      </c>
      <c r="G28" s="61">
        <f>INDEX('9oferty p.'!B3:G28,MATCH(25,B4:B29,0),5)</f>
        <v>965</v>
      </c>
      <c r="H28" s="6">
        <f>INDEX('9oferty p.'!B3:G28,MATCH(25,B4:B29,0),6)</f>
        <v>-344</v>
      </c>
    </row>
    <row r="29" spans="2:8" ht="15" x14ac:dyDescent="0.25">
      <c r="B29" s="22">
        <f>RANK('9oferty p.'!C28,'9oferty p.'!$C$3:'9oferty p.'!$C$28,1)+COUNTIF('9oferty p.'!$C$3:'9oferty p.'!C28,'9oferty p.'!C28)-1</f>
        <v>26</v>
      </c>
      <c r="C29" s="58" t="str">
        <f>INDEX('9oferty p.'!B3:G28,MATCH(26,B4:B29,0),1)</f>
        <v>województwo</v>
      </c>
      <c r="D29" s="59">
        <f>INDEX('9oferty p.'!B3:G28,MATCH(26,B4:B29,0),2)</f>
        <v>3573</v>
      </c>
      <c r="E29" s="63">
        <f>INDEX('9oferty p.'!B3:G28,MATCH(26,B4:B29,0),3)</f>
        <v>3474</v>
      </c>
      <c r="F29" s="59">
        <f>INDEX('9oferty p.'!B3:G28,MATCH(26,B4:B29,0),4)</f>
        <v>99</v>
      </c>
      <c r="G29" s="63">
        <f>INDEX('9oferty p.'!B3:G28,MATCH(26,B4:B29,0),5)</f>
        <v>3959</v>
      </c>
      <c r="H29" s="59">
        <f>INDEX('9oferty p.'!B3:G28,MATCH(26,B4:B29,0),6)</f>
        <v>-386</v>
      </c>
    </row>
  </sheetData>
  <pageMargins left="0" right="0" top="0.31496062992125984" bottom="0" header="0" footer="0"/>
  <pageSetup paperSize="9" scale="74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C00"/>
    <pageSetUpPr fitToPage="1"/>
  </sheetPr>
  <dimension ref="B1:K32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1.85546875" style="3" customWidth="1"/>
    <col min="4" max="4" width="11.7109375" style="3" customWidth="1"/>
    <col min="5" max="5" width="16.28515625" style="3" customWidth="1"/>
    <col min="6" max="6" width="11.7109375" style="3" customWidth="1"/>
    <col min="7" max="7" width="17.85546875" style="3" customWidth="1"/>
    <col min="8" max="8" width="6.28515625" style="3" customWidth="1"/>
    <col min="9" max="9" width="7" style="3" customWidth="1"/>
    <col min="10" max="10" width="6.140625" style="3" customWidth="1"/>
    <col min="11" max="12" width="9.140625" style="3"/>
    <col min="13" max="13" width="7.140625" style="3" customWidth="1"/>
    <col min="14" max="16384" width="9.140625" style="3"/>
  </cols>
  <sheetData>
    <row r="1" spans="2:11" ht="15" customHeight="1" x14ac:dyDescent="0.2">
      <c r="B1" s="49" t="s">
        <v>90</v>
      </c>
      <c r="C1" s="47"/>
      <c r="D1" s="47"/>
      <c r="E1" s="47"/>
      <c r="F1" s="47"/>
      <c r="G1" s="47"/>
      <c r="H1" s="48"/>
      <c r="I1" s="48"/>
      <c r="J1" s="48"/>
      <c r="K1" s="48"/>
    </row>
    <row r="2" spans="2:11" ht="14.25" customHeight="1" x14ac:dyDescent="0.2">
      <c r="B2" s="1" t="s">
        <v>91</v>
      </c>
      <c r="C2" s="42"/>
      <c r="D2" s="42"/>
      <c r="E2" s="42"/>
      <c r="F2" s="42"/>
      <c r="G2" s="42"/>
      <c r="H2" s="48"/>
      <c r="I2" s="48"/>
      <c r="J2" s="48"/>
      <c r="K2" s="48"/>
    </row>
    <row r="3" spans="2:11" ht="57" x14ac:dyDescent="0.2">
      <c r="B3" s="55" t="s">
        <v>27</v>
      </c>
      <c r="C3" s="56" t="s">
        <v>140</v>
      </c>
      <c r="D3" s="57" t="s">
        <v>106</v>
      </c>
      <c r="E3" s="56" t="s">
        <v>28</v>
      </c>
      <c r="F3" s="57" t="s">
        <v>141</v>
      </c>
      <c r="G3" s="56" t="s">
        <v>26</v>
      </c>
    </row>
    <row r="4" spans="2:11" x14ac:dyDescent="0.2">
      <c r="B4" s="5" t="s">
        <v>0</v>
      </c>
      <c r="C4" s="45">
        <v>3</v>
      </c>
      <c r="D4" s="61">
        <v>14</v>
      </c>
      <c r="E4" s="45">
        <f t="shared" ref="E4:E28" si="0">SUM(C4)-D4</f>
        <v>-11</v>
      </c>
      <c r="F4" s="61">
        <v>24</v>
      </c>
      <c r="G4" s="45">
        <f t="shared" ref="G4:G28" si="1">SUM(C4)-F4</f>
        <v>-21</v>
      </c>
      <c r="H4" s="7"/>
    </row>
    <row r="5" spans="2:11" x14ac:dyDescent="0.2">
      <c r="B5" s="5" t="s">
        <v>1</v>
      </c>
      <c r="C5" s="45">
        <v>35</v>
      </c>
      <c r="D5" s="61">
        <v>66</v>
      </c>
      <c r="E5" s="45">
        <f t="shared" si="0"/>
        <v>-31</v>
      </c>
      <c r="F5" s="61">
        <v>66</v>
      </c>
      <c r="G5" s="45">
        <f t="shared" si="1"/>
        <v>-31</v>
      </c>
      <c r="H5" s="7"/>
    </row>
    <row r="6" spans="2:11" x14ac:dyDescent="0.2">
      <c r="B6" s="5" t="s">
        <v>2</v>
      </c>
      <c r="C6" s="45">
        <v>46</v>
      </c>
      <c r="D6" s="61">
        <v>58</v>
      </c>
      <c r="E6" s="45">
        <f t="shared" si="0"/>
        <v>-12</v>
      </c>
      <c r="F6" s="61">
        <v>78</v>
      </c>
      <c r="G6" s="45">
        <f t="shared" si="1"/>
        <v>-32</v>
      </c>
      <c r="H6" s="7"/>
    </row>
    <row r="7" spans="2:11" x14ac:dyDescent="0.2">
      <c r="B7" s="5" t="s">
        <v>3</v>
      </c>
      <c r="C7" s="45">
        <v>67</v>
      </c>
      <c r="D7" s="61">
        <v>17</v>
      </c>
      <c r="E7" s="45">
        <f t="shared" si="0"/>
        <v>50</v>
      </c>
      <c r="F7" s="61">
        <v>78</v>
      </c>
      <c r="G7" s="45">
        <f t="shared" si="1"/>
        <v>-11</v>
      </c>
      <c r="H7" s="7"/>
    </row>
    <row r="8" spans="2:11" x14ac:dyDescent="0.2">
      <c r="B8" s="5" t="s">
        <v>4</v>
      </c>
      <c r="C8" s="45">
        <v>48</v>
      </c>
      <c r="D8" s="61">
        <v>80</v>
      </c>
      <c r="E8" s="45">
        <f t="shared" si="0"/>
        <v>-32</v>
      </c>
      <c r="F8" s="61">
        <v>122</v>
      </c>
      <c r="G8" s="45">
        <f t="shared" si="1"/>
        <v>-74</v>
      </c>
      <c r="H8" s="7"/>
    </row>
    <row r="9" spans="2:11" x14ac:dyDescent="0.2">
      <c r="B9" s="5" t="s">
        <v>5</v>
      </c>
      <c r="C9" s="45">
        <v>43</v>
      </c>
      <c r="D9" s="61">
        <v>36</v>
      </c>
      <c r="E9" s="45">
        <f t="shared" si="0"/>
        <v>7</v>
      </c>
      <c r="F9" s="61">
        <v>42</v>
      </c>
      <c r="G9" s="45">
        <f t="shared" si="1"/>
        <v>1</v>
      </c>
      <c r="H9" s="7"/>
    </row>
    <row r="10" spans="2:11" x14ac:dyDescent="0.2">
      <c r="B10" s="9" t="s">
        <v>6</v>
      </c>
      <c r="C10" s="45">
        <v>18</v>
      </c>
      <c r="D10" s="61">
        <v>30</v>
      </c>
      <c r="E10" s="45">
        <f t="shared" si="0"/>
        <v>-12</v>
      </c>
      <c r="F10" s="61">
        <v>22</v>
      </c>
      <c r="G10" s="45">
        <f t="shared" si="1"/>
        <v>-4</v>
      </c>
      <c r="H10" s="7"/>
    </row>
    <row r="11" spans="2:11" x14ac:dyDescent="0.2">
      <c r="B11" s="5" t="s">
        <v>7</v>
      </c>
      <c r="C11" s="45">
        <v>2</v>
      </c>
      <c r="D11" s="61">
        <v>14</v>
      </c>
      <c r="E11" s="45">
        <f t="shared" si="0"/>
        <v>-12</v>
      </c>
      <c r="F11" s="61">
        <v>15</v>
      </c>
      <c r="G11" s="45">
        <f t="shared" si="1"/>
        <v>-13</v>
      </c>
      <c r="H11" s="7"/>
    </row>
    <row r="12" spans="2:11" x14ac:dyDescent="0.2">
      <c r="B12" s="5" t="s">
        <v>8</v>
      </c>
      <c r="C12" s="45">
        <v>5</v>
      </c>
      <c r="D12" s="61">
        <v>18</v>
      </c>
      <c r="E12" s="45">
        <f t="shared" si="0"/>
        <v>-13</v>
      </c>
      <c r="F12" s="61">
        <v>48</v>
      </c>
      <c r="G12" s="45">
        <f t="shared" si="1"/>
        <v>-43</v>
      </c>
      <c r="H12" s="7"/>
    </row>
    <row r="13" spans="2:11" x14ac:dyDescent="0.2">
      <c r="B13" s="5" t="s">
        <v>9</v>
      </c>
      <c r="C13" s="45">
        <v>45</v>
      </c>
      <c r="D13" s="61">
        <v>39</v>
      </c>
      <c r="E13" s="45">
        <f t="shared" si="0"/>
        <v>6</v>
      </c>
      <c r="F13" s="61">
        <v>48</v>
      </c>
      <c r="G13" s="45">
        <f t="shared" si="1"/>
        <v>-3</v>
      </c>
      <c r="H13" s="7"/>
    </row>
    <row r="14" spans="2:11" x14ac:dyDescent="0.2">
      <c r="B14" s="5" t="s">
        <v>10</v>
      </c>
      <c r="C14" s="45">
        <v>4</v>
      </c>
      <c r="D14" s="61">
        <v>8</v>
      </c>
      <c r="E14" s="45">
        <f t="shared" si="0"/>
        <v>-4</v>
      </c>
      <c r="F14" s="61">
        <v>59</v>
      </c>
      <c r="G14" s="45">
        <f t="shared" si="1"/>
        <v>-55</v>
      </c>
      <c r="H14" s="7"/>
    </row>
    <row r="15" spans="2:11" x14ac:dyDescent="0.2">
      <c r="B15" s="5" t="s">
        <v>11</v>
      </c>
      <c r="C15" s="45">
        <v>18</v>
      </c>
      <c r="D15" s="61">
        <v>63</v>
      </c>
      <c r="E15" s="45">
        <f t="shared" si="0"/>
        <v>-45</v>
      </c>
      <c r="F15" s="61">
        <v>146</v>
      </c>
      <c r="G15" s="45">
        <f t="shared" si="1"/>
        <v>-128</v>
      </c>
      <c r="H15" s="7"/>
    </row>
    <row r="16" spans="2:11" x14ac:dyDescent="0.2">
      <c r="B16" s="5" t="s">
        <v>12</v>
      </c>
      <c r="C16" s="45">
        <v>44</v>
      </c>
      <c r="D16" s="61">
        <v>58</v>
      </c>
      <c r="E16" s="45">
        <f t="shared" si="0"/>
        <v>-14</v>
      </c>
      <c r="F16" s="61">
        <v>62</v>
      </c>
      <c r="G16" s="45">
        <f t="shared" si="1"/>
        <v>-18</v>
      </c>
      <c r="H16" s="7"/>
    </row>
    <row r="17" spans="2:8" x14ac:dyDescent="0.2">
      <c r="B17" s="5" t="s">
        <v>13</v>
      </c>
      <c r="C17" s="45">
        <v>22</v>
      </c>
      <c r="D17" s="61">
        <v>35</v>
      </c>
      <c r="E17" s="45">
        <f t="shared" si="0"/>
        <v>-13</v>
      </c>
      <c r="F17" s="61">
        <v>32</v>
      </c>
      <c r="G17" s="45">
        <f t="shared" si="1"/>
        <v>-10</v>
      </c>
      <c r="H17" s="7"/>
    </row>
    <row r="18" spans="2:8" x14ac:dyDescent="0.2">
      <c r="B18" s="5" t="s">
        <v>14</v>
      </c>
      <c r="C18" s="45">
        <v>82</v>
      </c>
      <c r="D18" s="61">
        <v>71</v>
      </c>
      <c r="E18" s="45">
        <f t="shared" si="0"/>
        <v>11</v>
      </c>
      <c r="F18" s="61">
        <v>95</v>
      </c>
      <c r="G18" s="45">
        <f t="shared" si="1"/>
        <v>-13</v>
      </c>
      <c r="H18" s="7"/>
    </row>
    <row r="19" spans="2:8" x14ac:dyDescent="0.2">
      <c r="B19" s="5" t="s">
        <v>15</v>
      </c>
      <c r="C19" s="45">
        <v>64</v>
      </c>
      <c r="D19" s="61">
        <v>28</v>
      </c>
      <c r="E19" s="45">
        <f t="shared" si="0"/>
        <v>36</v>
      </c>
      <c r="F19" s="61">
        <v>104</v>
      </c>
      <c r="G19" s="45">
        <f t="shared" si="1"/>
        <v>-40</v>
      </c>
      <c r="H19" s="7"/>
    </row>
    <row r="20" spans="2:8" x14ac:dyDescent="0.2">
      <c r="B20" s="5" t="s">
        <v>16</v>
      </c>
      <c r="C20" s="45">
        <v>19</v>
      </c>
      <c r="D20" s="61">
        <v>25</v>
      </c>
      <c r="E20" s="45">
        <f t="shared" si="0"/>
        <v>-6</v>
      </c>
      <c r="F20" s="61">
        <v>35</v>
      </c>
      <c r="G20" s="45">
        <f t="shared" si="1"/>
        <v>-16</v>
      </c>
      <c r="H20" s="7"/>
    </row>
    <row r="21" spans="2:8" x14ac:dyDescent="0.2">
      <c r="B21" s="5" t="s">
        <v>17</v>
      </c>
      <c r="C21" s="45">
        <v>57</v>
      </c>
      <c r="D21" s="61">
        <v>45</v>
      </c>
      <c r="E21" s="45">
        <f t="shared" si="0"/>
        <v>12</v>
      </c>
      <c r="F21" s="61">
        <v>50</v>
      </c>
      <c r="G21" s="45">
        <f t="shared" si="1"/>
        <v>7</v>
      </c>
      <c r="H21" s="7"/>
    </row>
    <row r="22" spans="2:8" x14ac:dyDescent="0.2">
      <c r="B22" s="5" t="s">
        <v>18</v>
      </c>
      <c r="C22" s="45">
        <v>17</v>
      </c>
      <c r="D22" s="61">
        <v>23</v>
      </c>
      <c r="E22" s="45">
        <f t="shared" si="0"/>
        <v>-6</v>
      </c>
      <c r="F22" s="61">
        <v>70</v>
      </c>
      <c r="G22" s="45">
        <f t="shared" si="1"/>
        <v>-53</v>
      </c>
      <c r="H22" s="7"/>
    </row>
    <row r="23" spans="2:8" x14ac:dyDescent="0.2">
      <c r="B23" s="5" t="s">
        <v>19</v>
      </c>
      <c r="C23" s="45">
        <v>71</v>
      </c>
      <c r="D23" s="61">
        <v>127</v>
      </c>
      <c r="E23" s="45">
        <f t="shared" si="0"/>
        <v>-56</v>
      </c>
      <c r="F23" s="61">
        <v>82</v>
      </c>
      <c r="G23" s="45">
        <f t="shared" si="1"/>
        <v>-11</v>
      </c>
      <c r="H23" s="7"/>
    </row>
    <row r="24" spans="2:8" x14ac:dyDescent="0.2">
      <c r="B24" s="5" t="s">
        <v>20</v>
      </c>
      <c r="C24" s="45">
        <v>31</v>
      </c>
      <c r="D24" s="61">
        <v>17</v>
      </c>
      <c r="E24" s="45">
        <f t="shared" si="0"/>
        <v>14</v>
      </c>
      <c r="F24" s="61">
        <v>20</v>
      </c>
      <c r="G24" s="45">
        <f t="shared" si="1"/>
        <v>11</v>
      </c>
      <c r="H24" s="7"/>
    </row>
    <row r="25" spans="2:8" x14ac:dyDescent="0.2">
      <c r="B25" s="5" t="s">
        <v>21</v>
      </c>
      <c r="C25" s="45">
        <v>28</v>
      </c>
      <c r="D25" s="61">
        <v>16</v>
      </c>
      <c r="E25" s="45">
        <f t="shared" si="0"/>
        <v>12</v>
      </c>
      <c r="F25" s="61">
        <v>19</v>
      </c>
      <c r="G25" s="45">
        <f t="shared" si="1"/>
        <v>9</v>
      </c>
      <c r="H25" s="7"/>
    </row>
    <row r="26" spans="2:8" x14ac:dyDescent="0.2">
      <c r="B26" s="5" t="s">
        <v>22</v>
      </c>
      <c r="C26" s="45">
        <v>28</v>
      </c>
      <c r="D26" s="61">
        <v>50</v>
      </c>
      <c r="E26" s="45">
        <f t="shared" si="0"/>
        <v>-22</v>
      </c>
      <c r="F26" s="61">
        <v>54</v>
      </c>
      <c r="G26" s="45">
        <f t="shared" si="1"/>
        <v>-26</v>
      </c>
      <c r="H26" s="7"/>
    </row>
    <row r="27" spans="2:8" x14ac:dyDescent="0.2">
      <c r="B27" s="5" t="s">
        <v>23</v>
      </c>
      <c r="C27" s="45">
        <v>50</v>
      </c>
      <c r="D27" s="61">
        <v>53</v>
      </c>
      <c r="E27" s="45">
        <f t="shared" si="0"/>
        <v>-3</v>
      </c>
      <c r="F27" s="61">
        <v>104</v>
      </c>
      <c r="G27" s="45">
        <f t="shared" si="1"/>
        <v>-54</v>
      </c>
      <c r="H27" s="7"/>
    </row>
    <row r="28" spans="2:8" x14ac:dyDescent="0.2">
      <c r="B28" s="5" t="s">
        <v>24</v>
      </c>
      <c r="C28" s="45">
        <v>13</v>
      </c>
      <c r="D28" s="61">
        <v>13</v>
      </c>
      <c r="E28" s="45">
        <f t="shared" si="0"/>
        <v>0</v>
      </c>
      <c r="F28" s="61">
        <v>47</v>
      </c>
      <c r="G28" s="45">
        <f t="shared" si="1"/>
        <v>-34</v>
      </c>
      <c r="H28" s="7"/>
    </row>
    <row r="29" spans="2:8" ht="15" x14ac:dyDescent="0.25">
      <c r="B29" s="58" t="s">
        <v>25</v>
      </c>
      <c r="C29" s="77">
        <f>SUM(C4:C28)</f>
        <v>860</v>
      </c>
      <c r="D29" s="63">
        <f>SUM(D4:D28)</f>
        <v>1004</v>
      </c>
      <c r="E29" s="77">
        <f>SUM(E4:E28)</f>
        <v>-144</v>
      </c>
      <c r="F29" s="63">
        <f>SUM(F4:F28)</f>
        <v>1522</v>
      </c>
      <c r="G29" s="77">
        <f>SUM(G4:G28)</f>
        <v>-662</v>
      </c>
      <c r="H29" s="7"/>
    </row>
    <row r="30" spans="2:8" ht="12" customHeight="1" x14ac:dyDescent="0.2">
      <c r="B30" s="4"/>
      <c r="C30" s="19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rintOptions horizontalCentered="1" verticalCentered="1"/>
  <pageMargins left="0.31496062992125984" right="0.31496062992125984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EE9B"/>
    <pageSetUpPr fitToPage="1"/>
  </sheetPr>
  <dimension ref="B1:AC30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6.85546875" style="3" customWidth="1"/>
    <col min="3" max="3" width="23.5703125" style="3" customWidth="1"/>
    <col min="4" max="4" width="15" style="3" customWidth="1"/>
    <col min="5" max="5" width="14.42578125" style="3" customWidth="1"/>
    <col min="6" max="6" width="14.85546875" style="3" customWidth="1"/>
    <col min="7" max="7" width="15.5703125" style="3" customWidth="1"/>
    <col min="8" max="8" width="17" style="3" customWidth="1"/>
    <col min="9" max="9" width="3.5703125" style="3" customWidth="1"/>
    <col min="10" max="10" width="4.140625" style="3" customWidth="1"/>
    <col min="11" max="11" width="5.42578125" style="3" customWidth="1"/>
    <col min="12" max="12" width="9.140625" style="3"/>
    <col min="13" max="13" width="5.85546875" style="3" customWidth="1"/>
    <col min="14" max="18" width="9.140625" style="3"/>
    <col min="19" max="19" width="6.85546875" style="3" customWidth="1"/>
    <col min="20" max="20" width="2.7109375" style="3" customWidth="1"/>
    <col min="21" max="21" width="2.42578125" style="3" customWidth="1"/>
    <col min="22" max="22" width="9.140625" style="3"/>
    <col min="23" max="23" width="16.5703125" style="3" customWidth="1"/>
    <col min="24" max="24" width="16.42578125" style="3" customWidth="1"/>
    <col min="25" max="25" width="4.7109375" style="3" customWidth="1"/>
    <col min="26" max="26" width="7.140625" style="3" customWidth="1"/>
    <col min="27" max="27" width="9.140625" style="3"/>
    <col min="28" max="28" width="18.7109375" style="3" customWidth="1"/>
    <col min="29" max="16384" width="9.140625" style="3"/>
  </cols>
  <sheetData>
    <row r="1" spans="2:29" x14ac:dyDescent="0.2">
      <c r="B1" s="2" t="s">
        <v>32</v>
      </c>
      <c r="V1" s="2" t="s">
        <v>115</v>
      </c>
      <c r="AA1" s="2" t="s">
        <v>116</v>
      </c>
    </row>
    <row r="2" spans="2:29" ht="15" x14ac:dyDescent="0.2">
      <c r="C2" s="20"/>
      <c r="D2" s="21"/>
      <c r="W2" s="20"/>
      <c r="X2" s="21"/>
      <c r="Y2" s="21"/>
      <c r="AB2" s="20"/>
      <c r="AC2" s="21"/>
    </row>
    <row r="3" spans="2:29" ht="69" customHeight="1" x14ac:dyDescent="0.2">
      <c r="B3" s="62" t="s">
        <v>86</v>
      </c>
      <c r="C3" s="55" t="str">
        <f>T('1bezr.'!B2)</f>
        <v>powiaty</v>
      </c>
      <c r="D3" s="56" t="str">
        <f>T('1bezr.'!C2)</f>
        <v>liczba bezrobotnych ogółem stan na 31 X '23 r.</v>
      </c>
      <c r="E3" s="57" t="str">
        <f>T('1bezr.'!D2)</f>
        <v>liczba bezrobotnych ogółem stan na 30 IX '23 r.</v>
      </c>
      <c r="F3" s="56" t="str">
        <f>T('1bezr.'!E2)</f>
        <v>wzrost/spadek do miesiąca poprzedniego</v>
      </c>
      <c r="G3" s="57" t="str">
        <f>T('1bezr.'!F2)</f>
        <v>liczba bezrobotnych ogółem stan na 31 X '22 r.</v>
      </c>
      <c r="H3" s="56" t="str">
        <f>T('1bezr.'!G2)</f>
        <v>wzrost/spadek do analogicznego okresu ubr.</v>
      </c>
      <c r="V3" s="62" t="s">
        <v>86</v>
      </c>
      <c r="W3" s="55" t="str">
        <f>T('1bezr.'!B2)</f>
        <v>powiaty</v>
      </c>
      <c r="X3" s="56" t="str">
        <f>T('1bezr.'!E2)</f>
        <v>wzrost/spadek do miesiąca poprzedniego</v>
      </c>
      <c r="Y3" s="56"/>
      <c r="AA3" s="62" t="s">
        <v>86</v>
      </c>
      <c r="AB3" s="55" t="str">
        <f>T('1bezr.'!C2)</f>
        <v>liczba bezrobotnych ogółem stan na 31 X '23 r.</v>
      </c>
      <c r="AC3" s="56" t="str">
        <f>T('1bezr.'!I2)</f>
        <v/>
      </c>
    </row>
    <row r="4" spans="2:29" x14ac:dyDescent="0.2">
      <c r="B4" s="6">
        <f>RANK('1bezr.'!C3,'1bezr.'!$C$3:'1bezr.'!$C$28,1)+COUNTIF('1bezr.'!$C$3:'1bezr.'!C3,'1bezr.'!C3)-1</f>
        <v>2</v>
      </c>
      <c r="C4" s="5" t="str">
        <f>INDEX('1bezr.'!B3:G28,MATCH(1,B4:B29,0),1)</f>
        <v>Krosno</v>
      </c>
      <c r="D4" s="25">
        <f>INDEX('1bezr.'!B3:G28,MATCH(1,B4:B29,0),2)</f>
        <v>765</v>
      </c>
      <c r="E4" s="61">
        <f>INDEX('1bezr.'!B3:G28,MATCH(1,B4:B29,0),3)</f>
        <v>771</v>
      </c>
      <c r="F4" s="184">
        <f>INDEX('1bezr.'!B3:G28,MATCH(1,B4:B29,0),4)</f>
        <v>-6</v>
      </c>
      <c r="G4" s="61">
        <f>INDEX('1bezr.'!B3:G28,MATCH(1,B4:B29,0),5)</f>
        <v>680</v>
      </c>
      <c r="H4" s="6">
        <f>INDEX('1bezr.'!B3:G28,MATCH(1,B4:B29,0),6)</f>
        <v>85</v>
      </c>
      <c r="V4" s="6">
        <f>RANK('1bezr.'!E3,'1bezr.'!$E$3:'1bezr.'!$E$28,1)+COUNTIF('1bezr.'!$E$3:'1bezr.'!E3,'1bezr.'!E3)-1</f>
        <v>14</v>
      </c>
      <c r="W4" s="79" t="str">
        <f>INDEX('1bezr.'!B3:G28,MATCH(1,V4:V29,0),1)</f>
        <v>Rzeszów</v>
      </c>
      <c r="X4" s="78">
        <f>INDEX('1bezr.'!E3:G28,MATCH(1,V4:V29,0),1)</f>
        <v>-66</v>
      </c>
      <c r="Y4" s="78">
        <v>1</v>
      </c>
      <c r="Z4" s="2">
        <v>1</v>
      </c>
      <c r="AA4" s="6">
        <f>RANK('1bezr.'!C3,'1bezr.'!$C$3:'1bezr.'!$C$28,1)+COUNTIF('1bezr.'!$C$3:'1bezr.'!C3,'1bezr.'!C3)-1</f>
        <v>2</v>
      </c>
      <c r="AB4" s="79" t="str">
        <f>INDEX('1bezr.'!B3:G28,MATCH(25,AA4:AA29,0),1)</f>
        <v>Rzeszów</v>
      </c>
      <c r="AC4" s="6">
        <f>INDEX('1bezr.'!B3:G28,MATCH(25,AA4:AA29,0),2)</f>
        <v>5011</v>
      </c>
    </row>
    <row r="5" spans="2:29" x14ac:dyDescent="0.2">
      <c r="B5" s="6">
        <f>RANK('1bezr.'!C4,'1bezr.'!$C$3:'1bezr.'!$C$28,1)+COUNTIF('1bezr.'!$C$3:'1bezr.'!C4,'1bezr.'!C4)-1</f>
        <v>21</v>
      </c>
      <c r="C5" s="5" t="str">
        <f>INDEX('1bezr.'!B3:G28,MATCH(2,B4:B29,0),1)</f>
        <v>bieszczadzki</v>
      </c>
      <c r="D5" s="6">
        <f>INDEX('1bezr.'!B3:G28,MATCH(2,B4:B29,0),2)</f>
        <v>987</v>
      </c>
      <c r="E5" s="61">
        <f>INDEX('1bezr.'!B3:G28,MATCH(2,B4:B29,0),3)</f>
        <v>967</v>
      </c>
      <c r="F5" s="6">
        <f>INDEX('1bezr.'!B3:G28,MATCH(2,B4:B29,0),4)</f>
        <v>20</v>
      </c>
      <c r="G5" s="61">
        <f>INDEX('1bezr.'!B3:G28,MATCH(2,B4:B29,0),5)</f>
        <v>1023</v>
      </c>
      <c r="H5" s="6">
        <f>INDEX('1bezr.'!B3:G28,MATCH(2,B4:B29,0),6)</f>
        <v>-36</v>
      </c>
      <c r="V5" s="6">
        <f>RANK('1bezr.'!E4,'1bezr.'!$E$3:'1bezr.'!$E$28,1)+COUNTIF('1bezr.'!$E$3:'1bezr.'!E4,'1bezr.'!E4)-1</f>
        <v>17</v>
      </c>
      <c r="W5" s="79" t="str">
        <f>INDEX('1bezr.'!B3:G28,MATCH(2,V4:V29,0),1)</f>
        <v>strzyżowski</v>
      </c>
      <c r="X5" s="6">
        <f>INDEX('1bezr.'!E3:G28,MATCH(2,V4:V29,0),1)</f>
        <v>-48</v>
      </c>
      <c r="Y5" s="6">
        <v>2</v>
      </c>
      <c r="Z5" s="2">
        <v>2</v>
      </c>
      <c r="AA5" s="6">
        <f>RANK('1bezr.'!C4,'1bezr.'!$C$3:'1bezr.'!$C$28,1)+COUNTIF('1bezr.'!$C$3:'1bezr.'!C4,'1bezr.'!C4)-1</f>
        <v>21</v>
      </c>
      <c r="AB5" s="79" t="str">
        <f>INDEX('1bezr.'!B3:G28,MATCH(24,AA4:AA29,0),1)</f>
        <v>jasielski</v>
      </c>
      <c r="AC5" s="6">
        <f>INDEX('1bezr.'!B3:K28,MATCH(24,AA4:AA29,0),2)</f>
        <v>4830</v>
      </c>
    </row>
    <row r="6" spans="2:29" x14ac:dyDescent="0.2">
      <c r="B6" s="6">
        <f>RANK('1bezr.'!C5,'1bezr.'!$C$3:'1bezr.'!$C$28,1)+COUNTIF('1bezr.'!$C$3:'1bezr.'!C5,'1bezr.'!C5)-1</f>
        <v>12</v>
      </c>
      <c r="C6" s="5" t="str">
        <f>INDEX('1bezr.'!B3:G28,MATCH(3,B4:B29,0),1)</f>
        <v>Tarnobrzeg</v>
      </c>
      <c r="D6" s="6">
        <f>INDEX('1bezr.'!B3:G28,MATCH(3,B4:B29,0),2)</f>
        <v>1065</v>
      </c>
      <c r="E6" s="61">
        <f>INDEX('1bezr.'!B3:G28,MATCH(3,B4:B29,0),3)</f>
        <v>1064</v>
      </c>
      <c r="F6" s="6">
        <f>INDEX('1bezr.'!B3:G28,MATCH(3,B4:B29,0),4)</f>
        <v>1</v>
      </c>
      <c r="G6" s="61">
        <f>INDEX('1bezr.'!B3:G28,MATCH(3,B4:B29,0),5)</f>
        <v>1076</v>
      </c>
      <c r="H6" s="6">
        <f>INDEX('1bezr.'!B3:G28,MATCH(3,B4:B29,0),6)</f>
        <v>-11</v>
      </c>
      <c r="V6" s="6">
        <f>RANK('1bezr.'!E5,'1bezr.'!$E$3:'1bezr.'!$E$28,1)+COUNTIF('1bezr.'!$E$3:'1bezr.'!E5,'1bezr.'!E5)-1</f>
        <v>19</v>
      </c>
      <c r="W6" s="79" t="str">
        <f>INDEX('1bezr.'!B3:G28,MATCH(3,V4:V29,0),1)</f>
        <v>jarosławski</v>
      </c>
      <c r="X6" s="6">
        <f>INDEX('1bezr.'!E3:G28,MATCH(3,V4:V29,0),1)</f>
        <v>-45</v>
      </c>
      <c r="Y6" s="6">
        <v>3</v>
      </c>
      <c r="Z6" s="2">
        <v>3</v>
      </c>
      <c r="AA6" s="6">
        <f>RANK('1bezr.'!C5,'1bezr.'!$C$3:'1bezr.'!$C$28,1)+COUNTIF('1bezr.'!$C$3:'1bezr.'!C5,'1bezr.'!C5)-1</f>
        <v>12</v>
      </c>
      <c r="AB6" s="79" t="str">
        <f>INDEX('1bezr.'!B3:G28,MATCH(23,AA4:AA29,0),1)</f>
        <v>rzeszowski</v>
      </c>
      <c r="AC6" s="6">
        <f>INDEX('1bezr.'!B3:K28,MATCH(23,AA4:AA29,0),2)</f>
        <v>4533</v>
      </c>
    </row>
    <row r="7" spans="2:29" x14ac:dyDescent="0.2">
      <c r="B7" s="6">
        <f>RANK('1bezr.'!C6,'1bezr.'!$C$3:'1bezr.'!$C$28,1)+COUNTIF('1bezr.'!$C$3:'1bezr.'!C6,'1bezr.'!C6)-1</f>
        <v>22</v>
      </c>
      <c r="C7" s="5" t="str">
        <f>INDEX('1bezr.'!B3:G28,MATCH(4,B4:B29,0),1)</f>
        <v xml:space="preserve">tarnobrzeski </v>
      </c>
      <c r="D7" s="6">
        <f>INDEX('1bezr.'!B3:G28,MATCH(4,B4:B29,0),2)</f>
        <v>1251</v>
      </c>
      <c r="E7" s="61">
        <f>INDEX('1bezr.'!B3:G28,MATCH(4,B4:B29,0),3)</f>
        <v>1248</v>
      </c>
      <c r="F7" s="6">
        <f>INDEX('1bezr.'!B3:G28,MATCH(4,B4:B29,0),4)</f>
        <v>3</v>
      </c>
      <c r="G7" s="61">
        <f>INDEX('1bezr.'!B3:G28,MATCH(4,B4:B29,0),5)</f>
        <v>1259</v>
      </c>
      <c r="H7" s="6">
        <f>INDEX('1bezr.'!B3:G28,MATCH(4,B4:B29,0),6)</f>
        <v>-8</v>
      </c>
      <c r="V7" s="6">
        <f>RANK('1bezr.'!E6,'1bezr.'!$E$3:'1bezr.'!$E$28,1)+COUNTIF('1bezr.'!$E$3:'1bezr.'!E6,'1bezr.'!E6)-1</f>
        <v>3</v>
      </c>
      <c r="W7" s="79" t="str">
        <f>INDEX('1bezr.'!B3:G28,MATCH(4,V4:V29,0),1)</f>
        <v>łańcucki</v>
      </c>
      <c r="X7" s="6">
        <f>INDEX('1bezr.'!E3:G28,MATCH(4,V4:V29,0),1)</f>
        <v>-42</v>
      </c>
      <c r="Y7" s="6">
        <v>4</v>
      </c>
      <c r="Z7" s="2">
        <v>4</v>
      </c>
      <c r="AA7" s="6">
        <f>RANK('1bezr.'!C6,'1bezr.'!$C$3:'1bezr.'!$C$28,1)+COUNTIF('1bezr.'!$C$3:'1bezr.'!C6,'1bezr.'!C6)-1</f>
        <v>22</v>
      </c>
      <c r="AB7" s="79" t="str">
        <f>INDEX('1bezr.'!B3:G28,MATCH(22,AA4:AA29,0),1)</f>
        <v>jarosławski</v>
      </c>
      <c r="AC7" s="6">
        <f>INDEX('1bezr.'!B3:K28,MATCH(22,AA4:AA29,0),2)</f>
        <v>4157</v>
      </c>
    </row>
    <row r="8" spans="2:29" x14ac:dyDescent="0.2">
      <c r="B8" s="6">
        <f>RANK('1bezr.'!C7,'1bezr.'!$C$3:'1bezr.'!$C$28,1)+COUNTIF('1bezr.'!$C$3:'1bezr.'!C7,'1bezr.'!C7)-1</f>
        <v>24</v>
      </c>
      <c r="C8" s="5" t="str">
        <f>INDEX('1bezr.'!B3:G28,MATCH(5,B4:B29,0),1)</f>
        <v>kolbuszowski</v>
      </c>
      <c r="D8" s="6">
        <f>INDEX('1bezr.'!B3:G28,MATCH(5,B4:B29,0),2)</f>
        <v>1464</v>
      </c>
      <c r="E8" s="61">
        <f>INDEX('1bezr.'!B3:G28,MATCH(5,B4:B29,0),3)</f>
        <v>1488</v>
      </c>
      <c r="F8" s="184">
        <f>INDEX('1bezr.'!B3:G28,MATCH(5,B4:B29,0),4)</f>
        <v>-24</v>
      </c>
      <c r="G8" s="61">
        <f>INDEX('1bezr.'!B3:G28,MATCH(5,B4:B29,0),5)</f>
        <v>1526</v>
      </c>
      <c r="H8" s="6">
        <f>INDEX('1bezr.'!B3:G28,MATCH(5,B4:B29,0),6)</f>
        <v>-62</v>
      </c>
      <c r="V8" s="6">
        <f>RANK('1bezr.'!E7,'1bezr.'!$E$3:'1bezr.'!$E$28,1)+COUNTIF('1bezr.'!$E$3:'1bezr.'!E7,'1bezr.'!E7)-1</f>
        <v>25</v>
      </c>
      <c r="W8" s="79" t="str">
        <f>INDEX('1bezr.'!B3:G28,MATCH(5,V4:V29,0),1)</f>
        <v>Przemyśl</v>
      </c>
      <c r="X8" s="6">
        <f>INDEX('1bezr.'!E3:G28,MATCH(5,V4:V29,0),1)</f>
        <v>-28</v>
      </c>
      <c r="Y8" s="6">
        <v>5</v>
      </c>
      <c r="Z8" s="2">
        <v>5</v>
      </c>
      <c r="AA8" s="6">
        <f>RANK('1bezr.'!C7,'1bezr.'!$C$3:'1bezr.'!$C$28,1)+COUNTIF('1bezr.'!$C$3:'1bezr.'!C7,'1bezr.'!C7)-1</f>
        <v>24</v>
      </c>
      <c r="AB8" s="79" t="str">
        <f>INDEX('1bezr.'!B3:G28,MATCH(21,AA4:AA29,0),1)</f>
        <v>brzozowski</v>
      </c>
      <c r="AC8" s="6">
        <f>INDEX('1bezr.'!B3:K28,MATCH(21,AA4:AA29,0),2)</f>
        <v>3645</v>
      </c>
    </row>
    <row r="9" spans="2:29" x14ac:dyDescent="0.2">
      <c r="B9" s="6">
        <f>RANK('1bezr.'!C8,'1bezr.'!$C$3:'1bezr.'!$C$28,1)+COUNTIF('1bezr.'!$C$3:'1bezr.'!C8,'1bezr.'!C8)-1</f>
        <v>5</v>
      </c>
      <c r="C9" s="5" t="str">
        <f>INDEX('1bezr.'!B3:G28,MATCH(6,B4:B29,0),1)</f>
        <v>leski</v>
      </c>
      <c r="D9" s="6">
        <f>INDEX('1bezr.'!B3:G28,MATCH(6,B4:B29,0),2)</f>
        <v>1561</v>
      </c>
      <c r="E9" s="61">
        <f>INDEX('1bezr.'!B3:G28,MATCH(6,B4:B29,0),3)</f>
        <v>1530</v>
      </c>
      <c r="F9" s="6">
        <f>INDEX('1bezr.'!B3:G28,MATCH(6,B4:B29,0),4)</f>
        <v>31</v>
      </c>
      <c r="G9" s="61">
        <f>INDEX('1bezr.'!B3:G28,MATCH(6,B4:B29,0),5)</f>
        <v>1625</v>
      </c>
      <c r="H9" s="6">
        <f>INDEX('1bezr.'!B3:G28,MATCH(6,B4:B29,0),6)</f>
        <v>-64</v>
      </c>
      <c r="V9" s="6">
        <f>RANK('1bezr.'!E8,'1bezr.'!$E$3:'1bezr.'!$E$28,1)+COUNTIF('1bezr.'!$E$3:'1bezr.'!E8,'1bezr.'!E8)-1</f>
        <v>7</v>
      </c>
      <c r="W9" s="79" t="str">
        <f>INDEX('1bezr.'!B3:G28,MATCH(6,V4:V29,0),1)</f>
        <v>niżański</v>
      </c>
      <c r="X9" s="6">
        <f>INDEX('1bezr.'!E3:G28,MATCH(6,V4:V29,0),1)</f>
        <v>-26</v>
      </c>
      <c r="Y9" s="6">
        <v>6</v>
      </c>
      <c r="Z9" s="2">
        <v>6</v>
      </c>
      <c r="AA9" s="6">
        <f>RANK('1bezr.'!C8,'1bezr.'!$C$3:'1bezr.'!$C$28,1)+COUNTIF('1bezr.'!$C$3:'1bezr.'!C8,'1bezr.'!C8)-1</f>
        <v>5</v>
      </c>
      <c r="AB9" s="79" t="str">
        <f>INDEX('1bezr.'!B3:G28,MATCH(20,AA4:AA29,0),1)</f>
        <v>przeworski</v>
      </c>
      <c r="AC9" s="6">
        <f>INDEX('1bezr.'!B3:K28,MATCH(20,AA4:AA29,0),2)</f>
        <v>3264</v>
      </c>
    </row>
    <row r="10" spans="2:29" x14ac:dyDescent="0.2">
      <c r="B10" s="6">
        <f>RANK('1bezr.'!C9,'1bezr.'!$C$3:'1bezr.'!$C$28,1)+COUNTIF('1bezr.'!$C$3:'1bezr.'!C9,'1bezr.'!C9)-1</f>
        <v>9</v>
      </c>
      <c r="C10" s="9" t="str">
        <f>INDEX('1bezr.'!B3:G28,MATCH(7,B4:B29,0),1)</f>
        <v>lubaczowski</v>
      </c>
      <c r="D10" s="6">
        <f>INDEX('1bezr.'!B3:G28,MATCH(7,B4:B29,0),2)</f>
        <v>1663</v>
      </c>
      <c r="E10" s="61">
        <f>INDEX('1bezr.'!B3:G28,MATCH(7,B4:B29,0),3)</f>
        <v>1624</v>
      </c>
      <c r="F10" s="6">
        <f>INDEX('1bezr.'!B3:G28,MATCH(7,B4:B29,0),4)</f>
        <v>39</v>
      </c>
      <c r="G10" s="61">
        <f>INDEX('1bezr.'!B3:G28,MATCH(7,B4:B29,0),5)</f>
        <v>1731</v>
      </c>
      <c r="H10" s="6">
        <f>INDEX('1bezr.'!B3:G28,MATCH(7,B4:B29,0),6)</f>
        <v>-68</v>
      </c>
      <c r="V10" s="6">
        <f>RANK('1bezr.'!E9,'1bezr.'!$E$3:'1bezr.'!$E$28,1)+COUNTIF('1bezr.'!$E$3:'1bezr.'!E9,'1bezr.'!E9)-1</f>
        <v>10</v>
      </c>
      <c r="W10" s="80" t="str">
        <f>INDEX('1bezr.'!B3:G28,MATCH(7,V4:V29,0),1)</f>
        <v>kolbuszowski</v>
      </c>
      <c r="X10" s="6">
        <f>INDEX('1bezr.'!E3:G28,MATCH(7,V4:V29,0),1)</f>
        <v>-24</v>
      </c>
      <c r="Y10" s="6">
        <v>7</v>
      </c>
      <c r="Z10" s="2">
        <v>7</v>
      </c>
      <c r="AA10" s="6">
        <f>RANK('1bezr.'!C9,'1bezr.'!$C$3:'1bezr.'!$C$28,1)+COUNTIF('1bezr.'!$C$3:'1bezr.'!C9,'1bezr.'!C9)-1</f>
        <v>9</v>
      </c>
      <c r="AB10" s="80" t="str">
        <f>INDEX('1bezr.'!B3:G28,MATCH(19,AA4:AA29,0),1)</f>
        <v>niżański</v>
      </c>
      <c r="AC10" s="6">
        <f>INDEX('1bezr.'!B3:K28,MATCH(19,AA4:AA29,0),2)</f>
        <v>2943</v>
      </c>
    </row>
    <row r="11" spans="2:29" x14ac:dyDescent="0.2">
      <c r="B11" s="6">
        <f>RANK('1bezr.'!C10,'1bezr.'!$C$3:'1bezr.'!$C$28,1)+COUNTIF('1bezr.'!$C$3:'1bezr.'!C10,'1bezr.'!C10)-1</f>
        <v>6</v>
      </c>
      <c r="C11" s="5" t="str">
        <f>INDEX('1bezr.'!B3:G28,MATCH(8,B4:B29,0),1)</f>
        <v>stalowowolski</v>
      </c>
      <c r="D11" s="6">
        <f>INDEX('1bezr.'!B3:G28,MATCH(8,B4:B29,0),2)</f>
        <v>1898</v>
      </c>
      <c r="E11" s="61">
        <f>INDEX('1bezr.'!B3:G28,MATCH(8,B4:B29,0),3)</f>
        <v>1845</v>
      </c>
      <c r="F11" s="6">
        <f>INDEX('1bezr.'!B3:G28,MATCH(8,B4:B29,0),4)</f>
        <v>53</v>
      </c>
      <c r="G11" s="61">
        <f>INDEX('1bezr.'!B3:G28,MATCH(8,B4:B29,0),5)</f>
        <v>1858</v>
      </c>
      <c r="H11" s="6">
        <f>INDEX('1bezr.'!B3:G28,MATCH(8,B4:B29,0),6)</f>
        <v>40</v>
      </c>
      <c r="V11" s="6">
        <f>RANK('1bezr.'!E10,'1bezr.'!$E$3:'1bezr.'!$E$28,1)+COUNTIF('1bezr.'!$E$3:'1bezr.'!E10,'1bezr.'!E10)-1</f>
        <v>15</v>
      </c>
      <c r="W11" s="79" t="str">
        <f>INDEX('1bezr.'!B3:G28,MATCH(8,V4:V29,0),1)</f>
        <v>ropczycko-sędziszowski</v>
      </c>
      <c r="X11" s="6">
        <f>INDEX('1bezr.'!E3:G28,MATCH(8,V4:V29,0),1)</f>
        <v>-22</v>
      </c>
      <c r="Y11" s="6">
        <v>1</v>
      </c>
      <c r="Z11" s="2">
        <v>8</v>
      </c>
      <c r="AA11" s="6">
        <f>RANK('1bezr.'!C10,'1bezr.'!$C$3:'1bezr.'!$C$28,1)+COUNTIF('1bezr.'!$C$3:'1bezr.'!C10,'1bezr.'!C10)-1</f>
        <v>6</v>
      </c>
      <c r="AB11" s="79" t="str">
        <f>INDEX('1bezr.'!B3:G28,MATCH(18,AA4:AA29,0),1)</f>
        <v>strzyżowski</v>
      </c>
      <c r="AC11" s="6">
        <f>INDEX('1bezr.'!B3:K28,MATCH(18,AA4:AA29,0),2)</f>
        <v>2938</v>
      </c>
    </row>
    <row r="12" spans="2:29" x14ac:dyDescent="0.2">
      <c r="B12" s="6">
        <f>RANK('1bezr.'!C11,'1bezr.'!$C$3:'1bezr.'!$C$28,1)+COUNTIF('1bezr.'!$C$3:'1bezr.'!C11,'1bezr.'!C11)-1</f>
        <v>16</v>
      </c>
      <c r="C12" s="5" t="str">
        <f>INDEX('1bezr.'!B3:G28,MATCH(9,B4:B29,0),1)</f>
        <v>krośnieński</v>
      </c>
      <c r="D12" s="6">
        <f>INDEX('1bezr.'!B3:G28,MATCH(9,B4:B29,0),2)</f>
        <v>2081</v>
      </c>
      <c r="E12" s="61">
        <f>INDEX('1bezr.'!B3:G28,MATCH(9,B4:B29,0),3)</f>
        <v>2081</v>
      </c>
      <c r="F12" s="6">
        <f>INDEX('1bezr.'!B3:G28,MATCH(9,B4:B29,0),4)</f>
        <v>0</v>
      </c>
      <c r="G12" s="61">
        <f>INDEX('1bezr.'!B3:G28,MATCH(9,B4:B29,0),5)</f>
        <v>1838</v>
      </c>
      <c r="H12" s="6">
        <f>INDEX('1bezr.'!B3:G28,MATCH(9,B4:B29,0),6)</f>
        <v>243</v>
      </c>
      <c r="V12" s="6">
        <f>RANK('1bezr.'!E11,'1bezr.'!$E$3:'1bezr.'!$E$28,1)+COUNTIF('1bezr.'!$E$3:'1bezr.'!E11,'1bezr.'!E11)-1</f>
        <v>16</v>
      </c>
      <c r="W12" s="79" t="str">
        <f>INDEX('1bezr.'!B3:G28,MATCH(9,V4:V29,0),1)</f>
        <v>Krosno</v>
      </c>
      <c r="X12" s="6">
        <f>INDEX('1bezr.'!E3:G28,MATCH(9,V4:V29,0),1)</f>
        <v>-6</v>
      </c>
      <c r="Y12" s="6">
        <v>2</v>
      </c>
      <c r="Z12" s="2">
        <v>9</v>
      </c>
      <c r="AA12" s="6">
        <f>RANK('1bezr.'!C11,'1bezr.'!$C$3:'1bezr.'!$C$28,1)+COUNTIF('1bezr.'!$C$3:'1bezr.'!C11,'1bezr.'!C11)-1</f>
        <v>16</v>
      </c>
      <c r="AB12" s="79" t="str">
        <f>INDEX('1bezr.'!B3:G28,MATCH(17,AA4:AA29,0),1)</f>
        <v>mielecki</v>
      </c>
      <c r="AC12" s="6">
        <f>INDEX('1bezr.'!B3:K28,MATCH(17,AA4:AA29,0),2)</f>
        <v>2921</v>
      </c>
    </row>
    <row r="13" spans="2:29" x14ac:dyDescent="0.2">
      <c r="B13" s="6">
        <f>RANK('1bezr.'!C12,'1bezr.'!$C$3:'1bezr.'!$C$28,1)+COUNTIF('1bezr.'!$C$3:'1bezr.'!C12,'1bezr.'!C12)-1</f>
        <v>7</v>
      </c>
      <c r="C13" s="5" t="str">
        <f>INDEX('1bezr.'!B3:G28,MATCH(10,B4:B29,0),1)</f>
        <v>Przemyśl</v>
      </c>
      <c r="D13" s="6">
        <f>INDEX('1bezr.'!B3:G28,MATCH(10,B4:B29,0),2)</f>
        <v>2298</v>
      </c>
      <c r="E13" s="61">
        <f>INDEX('1bezr.'!B3:G28,MATCH(10,B4:B29,0),3)</f>
        <v>2326</v>
      </c>
      <c r="F13" s="184">
        <f>INDEX('1bezr.'!B3:G28,MATCH(10,B4:B29,0),4)</f>
        <v>-28</v>
      </c>
      <c r="G13" s="61">
        <f>INDEX('1bezr.'!B3:G28,MATCH(10,B4:B29,0),5)</f>
        <v>2414</v>
      </c>
      <c r="H13" s="6">
        <f>INDEX('1bezr.'!B3:G28,MATCH(10,B4:B29,0),6)</f>
        <v>-116</v>
      </c>
      <c r="V13" s="6">
        <f>RANK('1bezr.'!E12,'1bezr.'!$E$3:'1bezr.'!$E$28,1)+COUNTIF('1bezr.'!$E$3:'1bezr.'!E12,'1bezr.'!E12)-1</f>
        <v>18</v>
      </c>
      <c r="W13" s="79" t="str">
        <f>INDEX('1bezr.'!B3:G28,MATCH(10,V4:V29,0),1)</f>
        <v>krośnieński</v>
      </c>
      <c r="X13" s="6">
        <f>INDEX('1bezr.'!E3:G28,MATCH(10,V4:V29,0),1)</f>
        <v>0</v>
      </c>
      <c r="Y13" s="6">
        <v>3</v>
      </c>
      <c r="Z13" s="186" t="s">
        <v>29</v>
      </c>
      <c r="AA13" s="6">
        <f>RANK('1bezr.'!C12,'1bezr.'!$C$3:'1bezr.'!$C$28,1)+COUNTIF('1bezr.'!$C$3:'1bezr.'!C12,'1bezr.'!C12)-1</f>
        <v>7</v>
      </c>
      <c r="AB13" s="79" t="str">
        <f>INDEX('1bezr.'!B3:G28,MATCH(16,AA4:AA29,0),1)</f>
        <v>leżajski</v>
      </c>
      <c r="AC13" s="6">
        <f>INDEX('1bezr.'!B3:K28,MATCH(16,AA4:AA29,0),2)</f>
        <v>2921</v>
      </c>
    </row>
    <row r="14" spans="2:29" x14ac:dyDescent="0.2">
      <c r="B14" s="6">
        <f>RANK('1bezr.'!C13,'1bezr.'!$C$3:'1bezr.'!$C$28,1)+COUNTIF('1bezr.'!$C$3:'1bezr.'!C13,'1bezr.'!C13)-1</f>
        <v>11</v>
      </c>
      <c r="C14" s="5" t="str">
        <f>INDEX('1bezr.'!B3:G28,MATCH(11,B4:B29,0),1)</f>
        <v>łańcucki</v>
      </c>
      <c r="D14" s="6">
        <f>INDEX('1bezr.'!B3:G28,MATCH(11,B4:B29,0),2)</f>
        <v>2364</v>
      </c>
      <c r="E14" s="61">
        <f>INDEX('1bezr.'!B3:G28,MATCH(11,B4:B29,0),3)</f>
        <v>2406</v>
      </c>
      <c r="F14" s="184">
        <f>INDEX('1bezr.'!B3:G28,MATCH(11,B4:B29,0),4)</f>
        <v>-42</v>
      </c>
      <c r="G14" s="61">
        <f>INDEX('1bezr.'!B3:G28,MATCH(11,B4:B29,0),5)</f>
        <v>2576</v>
      </c>
      <c r="H14" s="6">
        <f>INDEX('1bezr.'!B3:G28,MATCH(11,B4:B29,0),6)</f>
        <v>-212</v>
      </c>
      <c r="V14" s="6">
        <f>RANK('1bezr.'!E13,'1bezr.'!$E$3:'1bezr.'!$E$28,1)+COUNTIF('1bezr.'!$E$3:'1bezr.'!E13,'1bezr.'!E13)-1</f>
        <v>4</v>
      </c>
      <c r="W14" s="79" t="str">
        <f>INDEX('1bezr.'!B3:G28,MATCH(11,V4:V29,0),1)</f>
        <v>mielecki</v>
      </c>
      <c r="X14" s="6">
        <f>INDEX('1bezr.'!E3:G28,MATCH(11,V4:V29,0),1)</f>
        <v>1</v>
      </c>
      <c r="Y14" s="6">
        <v>4</v>
      </c>
      <c r="Z14" s="2">
        <v>1</v>
      </c>
      <c r="AA14" s="6">
        <f>RANK('1bezr.'!C13,'1bezr.'!$C$3:'1bezr.'!$C$28,1)+COUNTIF('1bezr.'!$C$3:'1bezr.'!C13,'1bezr.'!C13)-1</f>
        <v>11</v>
      </c>
      <c r="AB14" s="79" t="str">
        <f>INDEX('1bezr.'!B3:G28,MATCH(15,AA4:AA29,0),1)</f>
        <v>przemyski</v>
      </c>
      <c r="AC14" s="6">
        <f>INDEX('1bezr.'!B3:K28,MATCH(15,AA4:AA29,0),2)</f>
        <v>2823</v>
      </c>
    </row>
    <row r="15" spans="2:29" x14ac:dyDescent="0.2">
      <c r="B15" s="6">
        <f>RANK('1bezr.'!C14,'1bezr.'!$C$3:'1bezr.'!$C$28,1)+COUNTIF('1bezr.'!$C$3:'1bezr.'!C14,'1bezr.'!C14)-1</f>
        <v>17</v>
      </c>
      <c r="C15" s="5" t="str">
        <f>INDEX('1bezr.'!B3:G28,MATCH(12,B4:B29,0),1)</f>
        <v>dębicki</v>
      </c>
      <c r="D15" s="6">
        <f>INDEX('1bezr.'!B3:G28,MATCH(12,B4:B29,0),2)</f>
        <v>2368</v>
      </c>
      <c r="E15" s="61">
        <f>INDEX('1bezr.'!B3:G28,MATCH(12,B4:B29,0),3)</f>
        <v>2328</v>
      </c>
      <c r="F15" s="6">
        <f>INDEX('1bezr.'!B3:G28,MATCH(12,B4:B29,0),4)</f>
        <v>40</v>
      </c>
      <c r="G15" s="61">
        <f>INDEX('1bezr.'!B3:G28,MATCH(12,B4:B29,0),5)</f>
        <v>2371</v>
      </c>
      <c r="H15" s="6">
        <f>INDEX('1bezr.'!B3:G28,MATCH(12,B4:B29,0),6)</f>
        <v>-3</v>
      </c>
      <c r="V15" s="6">
        <f>RANK('1bezr.'!E14,'1bezr.'!$E$3:'1bezr.'!$E$28,1)+COUNTIF('1bezr.'!$E$3:'1bezr.'!E14,'1bezr.'!E14)-1</f>
        <v>11</v>
      </c>
      <c r="W15" s="79" t="str">
        <f>INDEX('1bezr.'!B3:G28,MATCH(12,V4:V29,0),1)</f>
        <v>Tarnobrzeg</v>
      </c>
      <c r="X15" s="6">
        <f>INDEX('1bezr.'!E3:G28,MATCH(12,V4:V29,0),1)</f>
        <v>1</v>
      </c>
      <c r="Y15" s="6">
        <v>5</v>
      </c>
      <c r="Z15" s="2">
        <v>2</v>
      </c>
      <c r="AA15" s="6">
        <f>RANK('1bezr.'!C14,'1bezr.'!$C$3:'1bezr.'!$C$28,1)+COUNTIF('1bezr.'!$C$3:'1bezr.'!C14,'1bezr.'!C14)-1</f>
        <v>17</v>
      </c>
      <c r="AB15" s="79" t="str">
        <f>INDEX('1bezr.'!B3:G28,MATCH(14,AA4:AA29,0),1)</f>
        <v>sanocki</v>
      </c>
      <c r="AC15" s="6">
        <f>INDEX('1bezr.'!B3:K28,MATCH(14,AA4:AA29,0),2)</f>
        <v>2680</v>
      </c>
    </row>
    <row r="16" spans="2:29" x14ac:dyDescent="0.2">
      <c r="B16" s="6">
        <f>RANK('1bezr.'!C15,'1bezr.'!$C$3:'1bezr.'!$C$28,1)+COUNTIF('1bezr.'!$C$3:'1bezr.'!C15,'1bezr.'!C15)-1</f>
        <v>19</v>
      </c>
      <c r="C16" s="5" t="str">
        <f>INDEX('1bezr.'!B3:G28,MATCH(13,B4:B29,0),1)</f>
        <v>ropczycko-sędziszowski</v>
      </c>
      <c r="D16" s="6">
        <f>INDEX('1bezr.'!B3:G28,MATCH(13,B4:B29,0),2)</f>
        <v>2537</v>
      </c>
      <c r="E16" s="61">
        <f>INDEX('1bezr.'!B3:G28,MATCH(13,B4:B29,0),3)</f>
        <v>2559</v>
      </c>
      <c r="F16" s="184">
        <f>INDEX('1bezr.'!B3:G28,MATCH(13,B4:B29,0),4)</f>
        <v>-22</v>
      </c>
      <c r="G16" s="61">
        <f>INDEX('1bezr.'!B3:G28,MATCH(13,B4:B29,0),5)</f>
        <v>2825</v>
      </c>
      <c r="H16" s="6">
        <f>INDEX('1bezr.'!B3:G28,MATCH(13,B4:B29,0),6)</f>
        <v>-288</v>
      </c>
      <c r="V16" s="6">
        <f>RANK('1bezr.'!E15,'1bezr.'!$E$3:'1bezr.'!$E$28,1)+COUNTIF('1bezr.'!$E$3:'1bezr.'!E15,'1bezr.'!E15)-1</f>
        <v>6</v>
      </c>
      <c r="W16" s="79" t="str">
        <f>INDEX('1bezr.'!B3:G28,MATCH(13,V4:V29,0),1)</f>
        <v xml:space="preserve">tarnobrzeski </v>
      </c>
      <c r="X16" s="6">
        <f>INDEX('1bezr.'!E3:G28,MATCH(13,V4:V29,0),1)</f>
        <v>3</v>
      </c>
      <c r="Y16" s="6">
        <v>6</v>
      </c>
      <c r="Z16" s="2">
        <v>3</v>
      </c>
      <c r="AA16" s="6">
        <f>RANK('1bezr.'!C15,'1bezr.'!$C$3:'1bezr.'!$C$28,1)+COUNTIF('1bezr.'!$C$3:'1bezr.'!C15,'1bezr.'!C15)-1</f>
        <v>19</v>
      </c>
      <c r="AB16" s="79" t="str">
        <f>INDEX('1bezr.'!B3:G28,MATCH(13,AA4:AA29,0),1)</f>
        <v>ropczycko-sędziszowski</v>
      </c>
      <c r="AC16" s="6">
        <f>INDEX('1bezr.'!B3:K28,MATCH(13,AA4:AA29,0),2)</f>
        <v>2537</v>
      </c>
    </row>
    <row r="17" spans="2:29" x14ac:dyDescent="0.2">
      <c r="B17" s="6">
        <f>RANK('1bezr.'!C16,'1bezr.'!$C$3:'1bezr.'!$C$28,1)+COUNTIF('1bezr.'!$C$3:'1bezr.'!C16,'1bezr.'!C16)-1</f>
        <v>15</v>
      </c>
      <c r="C17" s="5" t="str">
        <f>INDEX('1bezr.'!B3:G28,MATCH(14,B4:B29,0),1)</f>
        <v>sanocki</v>
      </c>
      <c r="D17" s="6">
        <f>INDEX('1bezr.'!B3:G28,MATCH(14,B4:B29,0),2)</f>
        <v>2680</v>
      </c>
      <c r="E17" s="61">
        <f>INDEX('1bezr.'!B3:G28,MATCH(14,B4:B29,0),3)</f>
        <v>2631</v>
      </c>
      <c r="F17" s="6">
        <f>INDEX('1bezr.'!B3:G28,MATCH(14,B4:B29,0),4)</f>
        <v>49</v>
      </c>
      <c r="G17" s="61">
        <f>INDEX('1bezr.'!B3:G28,MATCH(14,B4:B29,0),5)</f>
        <v>2576</v>
      </c>
      <c r="H17" s="6">
        <f>INDEX('1bezr.'!B3:G28,MATCH(14,B4:B29,0),6)</f>
        <v>104</v>
      </c>
      <c r="V17" s="6">
        <f>RANK('1bezr.'!E16,'1bezr.'!$E$3:'1bezr.'!$E$28,1)+COUNTIF('1bezr.'!$E$3:'1bezr.'!E16,'1bezr.'!E16)-1</f>
        <v>24</v>
      </c>
      <c r="W17" s="79" t="str">
        <f>INDEX('1bezr.'!B3:G28,MATCH(14,V4:V29,0),1)</f>
        <v>bieszczadzki</v>
      </c>
      <c r="X17" s="6">
        <f>INDEX('1bezr.'!E3:G28,MATCH(14,V4:V29,0),1)</f>
        <v>20</v>
      </c>
      <c r="Y17" s="6">
        <v>7</v>
      </c>
      <c r="Z17" s="2">
        <v>4</v>
      </c>
      <c r="AA17" s="6">
        <f>RANK('1bezr.'!C16,'1bezr.'!$C$3:'1bezr.'!$C$28,1)+COUNTIF('1bezr.'!$C$3:'1bezr.'!C16,'1bezr.'!C16)-1</f>
        <v>15</v>
      </c>
      <c r="AB17" s="79" t="str">
        <f>INDEX('1bezr.'!B3:G28,MATCH(12,AA4:AA29,0),1)</f>
        <v>dębicki</v>
      </c>
      <c r="AC17" s="6">
        <f>INDEX('1bezr.'!B3:K28,MATCH(12,AA4:AA29,0),2)</f>
        <v>2368</v>
      </c>
    </row>
    <row r="18" spans="2:29" x14ac:dyDescent="0.2">
      <c r="B18" s="6">
        <f>RANK('1bezr.'!C17,'1bezr.'!$C$3:'1bezr.'!$C$28,1)+COUNTIF('1bezr.'!$C$3:'1bezr.'!C17,'1bezr.'!C17)-1</f>
        <v>20</v>
      </c>
      <c r="C18" s="5" t="str">
        <f>INDEX('1bezr.'!B3:G28,MATCH(15,B4:B29,0),1)</f>
        <v>przemyski</v>
      </c>
      <c r="D18" s="6">
        <f>INDEX('1bezr.'!B3:G28,MATCH(15,B4:B29,0),2)</f>
        <v>2823</v>
      </c>
      <c r="E18" s="61">
        <f>INDEX('1bezr.'!B3:G28,MATCH(15,B4:B29,0),3)</f>
        <v>2762</v>
      </c>
      <c r="F18" s="6">
        <f>INDEX('1bezr.'!B3:G28,MATCH(15,B4:B29,0),4)</f>
        <v>61</v>
      </c>
      <c r="G18" s="61">
        <f>INDEX('1bezr.'!B3:G28,MATCH(15,B4:B29,0),5)</f>
        <v>2864</v>
      </c>
      <c r="H18" s="6">
        <f>INDEX('1bezr.'!B3:G28,MATCH(15,B4:B29,0),6)</f>
        <v>-41</v>
      </c>
      <c r="V18" s="6">
        <f>RANK('1bezr.'!E17,'1bezr.'!$E$3:'1bezr.'!$E$28,1)+COUNTIF('1bezr.'!$E$3:'1bezr.'!E17,'1bezr.'!E17)-1</f>
        <v>20</v>
      </c>
      <c r="W18" s="79" t="str">
        <f>INDEX('1bezr.'!B3:G28,MATCH(15,V4:V29,0),1)</f>
        <v>leski</v>
      </c>
      <c r="X18" s="6">
        <f>INDEX('1bezr.'!E3:G28,MATCH(15,V4:V29,0),1)</f>
        <v>31</v>
      </c>
      <c r="Y18" s="6">
        <v>8</v>
      </c>
      <c r="Z18" s="2">
        <v>5</v>
      </c>
      <c r="AA18" s="6">
        <f>RANK('1bezr.'!C17,'1bezr.'!$C$3:'1bezr.'!$C$28,1)+COUNTIF('1bezr.'!$C$3:'1bezr.'!C17,'1bezr.'!C17)-1</f>
        <v>20</v>
      </c>
      <c r="AB18" s="79" t="str">
        <f>INDEX('1bezr.'!B3:G28,MATCH(11,AA4:AA29,0),1)</f>
        <v>łańcucki</v>
      </c>
      <c r="AC18" s="6">
        <f>INDEX('1bezr.'!B3:K28,MATCH(11,AA4:AA29,0),2)</f>
        <v>2364</v>
      </c>
    </row>
    <row r="19" spans="2:29" x14ac:dyDescent="0.2">
      <c r="B19" s="6">
        <f>RANK('1bezr.'!C18,'1bezr.'!$C$3:'1bezr.'!$C$28,1)+COUNTIF('1bezr.'!$C$3:'1bezr.'!C18,'1bezr.'!C18)-1</f>
        <v>13</v>
      </c>
      <c r="C19" s="5" t="str">
        <f>INDEX('1bezr.'!B3:G28,MATCH(16,B4:B29,0),1)</f>
        <v>leżajski</v>
      </c>
      <c r="D19" s="6">
        <f>INDEX('1bezr.'!B3:G28,MATCH(16,B4:B29,0),2)</f>
        <v>2921</v>
      </c>
      <c r="E19" s="61">
        <f>INDEX('1bezr.'!B3:G28,MATCH(16,B4:B29,0),3)</f>
        <v>2889</v>
      </c>
      <c r="F19" s="6">
        <f>INDEX('1bezr.'!B3:G28,MATCH(16,B4:B29,0),4)</f>
        <v>32</v>
      </c>
      <c r="G19" s="61">
        <f>INDEX('1bezr.'!B3:G28,MATCH(16,B4:B29,0),5)</f>
        <v>3124</v>
      </c>
      <c r="H19" s="6">
        <f>INDEX('1bezr.'!B3:G28,MATCH(16,B4:B29,0),6)</f>
        <v>-203</v>
      </c>
      <c r="V19" s="6">
        <f>RANK('1bezr.'!E18,'1bezr.'!$E$3:'1bezr.'!$E$28,1)+COUNTIF('1bezr.'!$E$3:'1bezr.'!E18,'1bezr.'!E18)-1</f>
        <v>8</v>
      </c>
      <c r="W19" s="79" t="str">
        <f>INDEX('1bezr.'!B3:G28,MATCH(16,V4:V29,0),1)</f>
        <v>leżajski</v>
      </c>
      <c r="X19" s="6">
        <f>INDEX('1bezr.'!E3:G28,MATCH(16,V4:V29,0),1)</f>
        <v>32</v>
      </c>
      <c r="Y19" s="6">
        <v>9</v>
      </c>
      <c r="Z19" s="2">
        <v>6</v>
      </c>
      <c r="AA19" s="6">
        <f>RANK('1bezr.'!C18,'1bezr.'!$C$3:'1bezr.'!$C$28,1)+COUNTIF('1bezr.'!$C$3:'1bezr.'!C18,'1bezr.'!C18)-1</f>
        <v>13</v>
      </c>
      <c r="AB19" s="79" t="str">
        <f>INDEX('1bezr.'!B3:G28,MATCH(10,AA4:AA29,0),1)</f>
        <v>Przemyśl</v>
      </c>
      <c r="AC19" s="6">
        <f>INDEX('1bezr.'!B3:K28,MATCH(10,AA4:AA29,0),2)</f>
        <v>2298</v>
      </c>
    </row>
    <row r="20" spans="2:29" x14ac:dyDescent="0.2">
      <c r="B20" s="6">
        <f>RANK('1bezr.'!C19,'1bezr.'!$C$3:'1bezr.'!$C$28,1)+COUNTIF('1bezr.'!$C$3:'1bezr.'!C19,'1bezr.'!C19)-1</f>
        <v>23</v>
      </c>
      <c r="C20" s="5" t="str">
        <f>INDEX('1bezr.'!B3:G28,MATCH(17,B4:B29,0),1)</f>
        <v>mielecki</v>
      </c>
      <c r="D20" s="6">
        <f>INDEX('1bezr.'!B3:G28,MATCH(17,B4:B29,0),2)</f>
        <v>2921</v>
      </c>
      <c r="E20" s="61">
        <f>INDEX('1bezr.'!B3:G28,MATCH(17,B4:B29,0),3)</f>
        <v>2920</v>
      </c>
      <c r="F20" s="6">
        <f>INDEX('1bezr.'!B3:G28,MATCH(17,B4:B29,0),4)</f>
        <v>1</v>
      </c>
      <c r="G20" s="61">
        <f>INDEX('1bezr.'!B3:G28,MATCH(17,B4:B29,0),5)</f>
        <v>2559</v>
      </c>
      <c r="H20" s="6">
        <f>INDEX('1bezr.'!B3:G28,MATCH(17,B4:B29,0),6)</f>
        <v>362</v>
      </c>
      <c r="V20" s="6">
        <f>RANK('1bezr.'!E19,'1bezr.'!$E$3:'1bezr.'!$E$28,1)+COUNTIF('1bezr.'!$E$3:'1bezr.'!E19,'1bezr.'!E19)-1</f>
        <v>21</v>
      </c>
      <c r="W20" s="79" t="str">
        <f>INDEX('1bezr.'!B3:G28,MATCH(17,V4:V29,0),1)</f>
        <v>brzozowski</v>
      </c>
      <c r="X20" s="6">
        <f>INDEX('1bezr.'!E3:G28,MATCH(17,V4:V29,0),1)</f>
        <v>36</v>
      </c>
      <c r="Y20" s="6">
        <v>10</v>
      </c>
      <c r="Z20" s="2">
        <v>7</v>
      </c>
      <c r="AA20" s="6">
        <f>RANK('1bezr.'!C19,'1bezr.'!$C$3:'1bezr.'!$C$28,1)+COUNTIF('1bezr.'!$C$3:'1bezr.'!C19,'1bezr.'!C19)-1</f>
        <v>23</v>
      </c>
      <c r="AB20" s="79" t="str">
        <f>INDEX('1bezr.'!B3:G28,MATCH(9,AA4:AA29,0),1)</f>
        <v>krośnieński</v>
      </c>
      <c r="AC20" s="6">
        <f>INDEX('1bezr.'!B3:K28,MATCH(9,AA4:AA29,0),2)</f>
        <v>2081</v>
      </c>
    </row>
    <row r="21" spans="2:29" x14ac:dyDescent="0.2">
      <c r="B21" s="6">
        <f>RANK('1bezr.'!C20,'1bezr.'!$C$3:'1bezr.'!$C$28,1)+COUNTIF('1bezr.'!$C$3:'1bezr.'!C20,'1bezr.'!C20)-1</f>
        <v>14</v>
      </c>
      <c r="C21" s="5" t="str">
        <f>INDEX('1bezr.'!B3:G28,MATCH(18,B4:B29,0),1)</f>
        <v>strzyżowski</v>
      </c>
      <c r="D21" s="6">
        <f>INDEX('1bezr.'!B3:G28,MATCH(18,B4:B29,0),2)</f>
        <v>2938</v>
      </c>
      <c r="E21" s="61">
        <f>INDEX('1bezr.'!B3:G28,MATCH(18,B4:B29,0),3)</f>
        <v>2986</v>
      </c>
      <c r="F21" s="184">
        <f>INDEX('1bezr.'!B3:G28,MATCH(18,B4:B29,0),4)</f>
        <v>-48</v>
      </c>
      <c r="G21" s="61">
        <f>INDEX('1bezr.'!B3:G28,MATCH(18,B4:B29,0),5)</f>
        <v>3179</v>
      </c>
      <c r="H21" s="6">
        <f>INDEX('1bezr.'!B3:G28,MATCH(18,B4:B29,0),6)</f>
        <v>-241</v>
      </c>
      <c r="V21" s="6">
        <f>RANK('1bezr.'!E20,'1bezr.'!$E$3:'1bezr.'!$E$28,1)+COUNTIF('1bezr.'!$E$3:'1bezr.'!E20,'1bezr.'!E20)-1</f>
        <v>22</v>
      </c>
      <c r="W21" s="79" t="str">
        <f>INDEX('1bezr.'!B3:G28,MATCH(18,V4:V29,0),1)</f>
        <v>lubaczowski</v>
      </c>
      <c r="X21" s="6">
        <f>INDEX('1bezr.'!E3:G28,MATCH(18,V4:V29,0),1)</f>
        <v>39</v>
      </c>
      <c r="Y21" s="6">
        <v>11</v>
      </c>
      <c r="Z21" s="2">
        <v>8</v>
      </c>
      <c r="AA21" s="6">
        <f>RANK('1bezr.'!C20,'1bezr.'!$C$3:'1bezr.'!$C$28,1)+COUNTIF('1bezr.'!$C$3:'1bezr.'!C20,'1bezr.'!C20)-1</f>
        <v>14</v>
      </c>
      <c r="AB21" s="79" t="str">
        <f>INDEX('1bezr.'!B3:G28,MATCH(8,AA4:AA29,0),1)</f>
        <v>stalowowolski</v>
      </c>
      <c r="AC21" s="6">
        <f>INDEX('1bezr.'!B3:K28,MATCH(8,AA4:AA29,0),2)</f>
        <v>1898</v>
      </c>
    </row>
    <row r="22" spans="2:29" x14ac:dyDescent="0.2">
      <c r="B22" s="6">
        <f>RANK('1bezr.'!C21,'1bezr.'!$C$3:'1bezr.'!$C$28,1)+COUNTIF('1bezr.'!$C$3:'1bezr.'!C21,'1bezr.'!C21)-1</f>
        <v>8</v>
      </c>
      <c r="C22" s="5" t="str">
        <f>INDEX('1bezr.'!B3:G28,MATCH(19,B4:B29,0),1)</f>
        <v>niżański</v>
      </c>
      <c r="D22" s="6">
        <f>INDEX('1bezr.'!B3:G28,MATCH(19,B4:B29,0),2)</f>
        <v>2943</v>
      </c>
      <c r="E22" s="61">
        <f>INDEX('1bezr.'!B3:G28,MATCH(19,B4:B29,0),3)</f>
        <v>2969</v>
      </c>
      <c r="F22" s="184">
        <f>INDEX('1bezr.'!B3:G28,MATCH(19,B4:B29,0),4)</f>
        <v>-26</v>
      </c>
      <c r="G22" s="61">
        <f>INDEX('1bezr.'!B3:G28,MATCH(19,B4:B29,0),5)</f>
        <v>3062</v>
      </c>
      <c r="H22" s="6">
        <f>INDEX('1bezr.'!B3:G28,MATCH(19,B4:B29,0),6)</f>
        <v>-119</v>
      </c>
      <c r="V22" s="6">
        <f>RANK('1bezr.'!E21,'1bezr.'!$E$3:'1bezr.'!$E$28,1)+COUNTIF('1bezr.'!$E$3:'1bezr.'!E21,'1bezr.'!E21)-1</f>
        <v>23</v>
      </c>
      <c r="W22" s="79" t="str">
        <f>INDEX('1bezr.'!B3:G28,MATCH(19,V4:V29,0),1)</f>
        <v>dębicki</v>
      </c>
      <c r="X22" s="6">
        <f>INDEX('1bezr.'!E3:G28,MATCH(19,V4:V29,0),1)</f>
        <v>40</v>
      </c>
      <c r="Y22" s="6">
        <v>12</v>
      </c>
      <c r="Z22" s="2">
        <v>9</v>
      </c>
      <c r="AA22" s="6">
        <f>RANK('1bezr.'!C21,'1bezr.'!$C$3:'1bezr.'!$C$28,1)+COUNTIF('1bezr.'!$C$3:'1bezr.'!C21,'1bezr.'!C21)-1</f>
        <v>8</v>
      </c>
      <c r="AB22" s="79" t="str">
        <f>INDEX('1bezr.'!B3:G28,MATCH(7,AA4:AA29,0),1)</f>
        <v>lubaczowski</v>
      </c>
      <c r="AC22" s="6">
        <f>INDEX('1bezr.'!B3:K28,MATCH(7,AA4:AA29,0),2)</f>
        <v>1663</v>
      </c>
    </row>
    <row r="23" spans="2:29" x14ac:dyDescent="0.2">
      <c r="B23" s="6">
        <f>RANK('1bezr.'!C22,'1bezr.'!$C$3:'1bezr.'!$C$28,1)+COUNTIF('1bezr.'!$C$3:'1bezr.'!C22,'1bezr.'!C22)-1</f>
        <v>18</v>
      </c>
      <c r="C23" s="5" t="str">
        <f>INDEX('1bezr.'!B3:G28,MATCH(20,B4:B29,0),1)</f>
        <v>przeworski</v>
      </c>
      <c r="D23" s="6">
        <f>INDEX('1bezr.'!B3:G28,MATCH(20,B4:B29,0),2)</f>
        <v>3264</v>
      </c>
      <c r="E23" s="61">
        <f>INDEX('1bezr.'!B3:G28,MATCH(20,B4:B29,0),3)</f>
        <v>3221</v>
      </c>
      <c r="F23" s="6">
        <f>INDEX('1bezr.'!B3:G28,MATCH(20,B4:B29,0),4)</f>
        <v>43</v>
      </c>
      <c r="G23" s="61">
        <f>INDEX('1bezr.'!B3:G28,MATCH(20,B4:B29,0),5)</f>
        <v>3475</v>
      </c>
      <c r="H23" s="6">
        <f>INDEX('1bezr.'!B3:G28,MATCH(20,B4:B29,0),6)</f>
        <v>-211</v>
      </c>
      <c r="V23" s="6">
        <f>RANK('1bezr.'!E22,'1bezr.'!$E$3:'1bezr.'!$E$28,1)+COUNTIF('1bezr.'!$E$3:'1bezr.'!E22,'1bezr.'!E22)-1</f>
        <v>2</v>
      </c>
      <c r="W23" s="79" t="str">
        <f>INDEX('1bezr.'!B3:G28,MATCH(20,V4:V29,0),1)</f>
        <v>przeworski</v>
      </c>
      <c r="X23" s="6">
        <f>INDEX('1bezr.'!E3:G28,MATCH(20,V4:V29,0),1)</f>
        <v>43</v>
      </c>
      <c r="Y23" s="6">
        <v>13</v>
      </c>
      <c r="Z23" s="2">
        <v>10</v>
      </c>
      <c r="AA23" s="6">
        <f>RANK('1bezr.'!C22,'1bezr.'!$C$3:'1bezr.'!$C$28,1)+COUNTIF('1bezr.'!$C$3:'1bezr.'!C22,'1bezr.'!C22)-1</f>
        <v>18</v>
      </c>
      <c r="AB23" s="79" t="str">
        <f>INDEX('1bezr.'!B3:G28,MATCH(6,AA4:AA29,0),1)</f>
        <v>leski</v>
      </c>
      <c r="AC23" s="6">
        <f>INDEX('1bezr.'!B3:K28,MATCH(6,AA4:AA29,0),2)</f>
        <v>1561</v>
      </c>
    </row>
    <row r="24" spans="2:29" x14ac:dyDescent="0.2">
      <c r="B24" s="6">
        <f>RANK('1bezr.'!C23,'1bezr.'!$C$3:'1bezr.'!$C$28,1)+COUNTIF('1bezr.'!$C$3:'1bezr.'!C23,'1bezr.'!C23)-1</f>
        <v>4</v>
      </c>
      <c r="C24" s="5" t="str">
        <f>INDEX('1bezr.'!B3:G28,MATCH(21,B4:B29,0),1)</f>
        <v>brzozowski</v>
      </c>
      <c r="D24" s="6">
        <f>INDEX('1bezr.'!B3:G28,MATCH(21,B4:B29,0),2)</f>
        <v>3645</v>
      </c>
      <c r="E24" s="61">
        <f>INDEX('1bezr.'!B3:G28,MATCH(21,B4:B29,0),3)</f>
        <v>3609</v>
      </c>
      <c r="F24" s="6">
        <f>INDEX('1bezr.'!B3:G28,MATCH(21,B4:B29,0),4)</f>
        <v>36</v>
      </c>
      <c r="G24" s="61">
        <f>INDEX('1bezr.'!B3:G28,MATCH(21,B4:B29,0),5)</f>
        <v>3900</v>
      </c>
      <c r="H24" s="6">
        <f>INDEX('1bezr.'!B3:G28,MATCH(21,B4:B29,0),6)</f>
        <v>-255</v>
      </c>
      <c r="V24" s="6">
        <f>RANK('1bezr.'!E23,'1bezr.'!$E$3:'1bezr.'!$E$28,1)+COUNTIF('1bezr.'!$E$3:'1bezr.'!E23,'1bezr.'!E23)-1</f>
        <v>13</v>
      </c>
      <c r="W24" s="79" t="str">
        <f>INDEX('1bezr.'!B3:G28,MATCH(21,V4:V29,0),1)</f>
        <v>rzeszowski</v>
      </c>
      <c r="X24" s="6">
        <f>INDEX('1bezr.'!E3:G28,MATCH(21,V4:V29,0),1)</f>
        <v>48</v>
      </c>
      <c r="Y24" s="6">
        <v>14</v>
      </c>
      <c r="Z24" s="2">
        <v>11</v>
      </c>
      <c r="AA24" s="6">
        <f>RANK('1bezr.'!C23,'1bezr.'!$C$3:'1bezr.'!$C$28,1)+COUNTIF('1bezr.'!$C$3:'1bezr.'!C23,'1bezr.'!C23)-1</f>
        <v>4</v>
      </c>
      <c r="AB24" s="79" t="str">
        <f>INDEX('1bezr.'!B3:G28,MATCH(5,AA4:AA29,0),1)</f>
        <v>kolbuszowski</v>
      </c>
      <c r="AC24" s="6">
        <f>INDEX('1bezr.'!B3:K28,MATCH(5,AA4:AA29,0),2)</f>
        <v>1464</v>
      </c>
    </row>
    <row r="25" spans="2:29" x14ac:dyDescent="0.2">
      <c r="B25" s="6">
        <f>RANK('1bezr.'!C24,'1bezr.'!$C$3:'1bezr.'!$C$28,1)+COUNTIF('1bezr.'!$C$3:'1bezr.'!C24,'1bezr.'!C24)-1</f>
        <v>1</v>
      </c>
      <c r="C25" s="5" t="str">
        <f>INDEX('1bezr.'!B3:G28,MATCH(22,B4:B29,0),1)</f>
        <v>jarosławski</v>
      </c>
      <c r="D25" s="6">
        <f>INDEX('1bezr.'!B3:G28,MATCH(22,B4:B29,0),2)</f>
        <v>4157</v>
      </c>
      <c r="E25" s="61">
        <f>INDEX('1bezr.'!B3:G28,MATCH(22,B4:B29,0),3)</f>
        <v>4202</v>
      </c>
      <c r="F25" s="184">
        <f>INDEX('1bezr.'!B3:G28,MATCH(22,B4:B29,0),4)</f>
        <v>-45</v>
      </c>
      <c r="G25" s="61">
        <f>INDEX('1bezr.'!B3:G28,MATCH(22,B4:B29,0),5)</f>
        <v>4635</v>
      </c>
      <c r="H25" s="6">
        <f>INDEX('1bezr.'!B3:G28,MATCH(22,B4:B29,0),6)</f>
        <v>-478</v>
      </c>
      <c r="V25" s="6">
        <f>RANK('1bezr.'!E24,'1bezr.'!$E$3:'1bezr.'!$E$28,1)+COUNTIF('1bezr.'!$E$3:'1bezr.'!E24,'1bezr.'!E24)-1</f>
        <v>9</v>
      </c>
      <c r="W25" s="79" t="str">
        <f>INDEX('1bezr.'!B3:G28,MATCH(22,V4:V29,0),1)</f>
        <v>sanocki</v>
      </c>
      <c r="X25" s="6">
        <f>INDEX('1bezr.'!E3:G28,MATCH(22,V4:V29,0),1)</f>
        <v>49</v>
      </c>
      <c r="Y25" s="6">
        <v>15</v>
      </c>
      <c r="Z25" s="2">
        <v>12</v>
      </c>
      <c r="AA25" s="6">
        <f>RANK('1bezr.'!C24,'1bezr.'!$C$3:'1bezr.'!$C$28,1)+COUNTIF('1bezr.'!$C$3:'1bezr.'!C24,'1bezr.'!C24)-1</f>
        <v>1</v>
      </c>
      <c r="AB25" s="79" t="str">
        <f>INDEX('1bezr.'!B3:G28,MATCH(4,AA4:AA29,0),1)</f>
        <v xml:space="preserve">tarnobrzeski </v>
      </c>
      <c r="AC25" s="6">
        <f>INDEX('1bezr.'!B3:K28,MATCH(4,AA4:AA29,0),2)</f>
        <v>1251</v>
      </c>
    </row>
    <row r="26" spans="2:29" x14ac:dyDescent="0.2">
      <c r="B26" s="6">
        <f>RANK('1bezr.'!C25,'1bezr.'!$C$3:'1bezr.'!$C$28,1)+COUNTIF('1bezr.'!$C$3:'1bezr.'!C25,'1bezr.'!C25)-1</f>
        <v>10</v>
      </c>
      <c r="C26" s="5" t="str">
        <f>INDEX('1bezr.'!B3:G28,MATCH(23,B4:B29,0),1)</f>
        <v>rzeszowski</v>
      </c>
      <c r="D26" s="6">
        <f>INDEX('1bezr.'!B3:G28,MATCH(23,B4:B29,0),2)</f>
        <v>4533</v>
      </c>
      <c r="E26" s="61">
        <f>INDEX('1bezr.'!B3:G28,MATCH(23,B4:B29,0),3)</f>
        <v>4485</v>
      </c>
      <c r="F26" s="6">
        <f>INDEX('1bezr.'!B3:G28,MATCH(23,B4:B29,0),4)</f>
        <v>48</v>
      </c>
      <c r="G26" s="61">
        <f>INDEX('1bezr.'!B3:G28,MATCH(23,B4:B29,0),5)</f>
        <v>4879</v>
      </c>
      <c r="H26" s="6">
        <f>INDEX('1bezr.'!B3:G28,MATCH(23,B4:B29,0),6)</f>
        <v>-346</v>
      </c>
      <c r="V26" s="6">
        <f>RANK('1bezr.'!E25,'1bezr.'!$E$3:'1bezr.'!$E$28,1)+COUNTIF('1bezr.'!$E$3:'1bezr.'!E25,'1bezr.'!E25)-1</f>
        <v>5</v>
      </c>
      <c r="W26" s="79" t="str">
        <f>INDEX('1bezr.'!B3:G28,MATCH(23,V4:V29,0),1)</f>
        <v>stalowowolski</v>
      </c>
      <c r="X26" s="6">
        <f>INDEX('1bezr.'!E3:G28,MATCH(23,V4:V29,0),1)</f>
        <v>53</v>
      </c>
      <c r="Y26" s="6">
        <v>16</v>
      </c>
      <c r="Z26" s="2">
        <v>13</v>
      </c>
      <c r="AA26" s="6">
        <f>RANK('1bezr.'!C25,'1bezr.'!$C$3:'1bezr.'!$C$28,1)+COUNTIF('1bezr.'!$C$3:'1bezr.'!C25,'1bezr.'!C25)-1</f>
        <v>10</v>
      </c>
      <c r="AB26" s="79" t="str">
        <f>INDEX('1bezr.'!B3:G28,MATCH(3,AA4:AA29,0),1)</f>
        <v>Tarnobrzeg</v>
      </c>
      <c r="AC26" s="6">
        <f>INDEX('1bezr.'!B3:K28,MATCH(3,AA4:AA29,0),2)</f>
        <v>1065</v>
      </c>
    </row>
    <row r="27" spans="2:29" x14ac:dyDescent="0.2">
      <c r="B27" s="6">
        <f>RANK('1bezr.'!C26,'1bezr.'!$C$3:'1bezr.'!$C$28,1)+COUNTIF('1bezr.'!$C$3:'1bezr.'!C26,'1bezr.'!C26)-1</f>
        <v>25</v>
      </c>
      <c r="C27" s="5" t="str">
        <f>INDEX('1bezr.'!B3:G28,MATCH(24,B4:B29,0),1)</f>
        <v>jasielski</v>
      </c>
      <c r="D27" s="6">
        <f>INDEX('1bezr.'!B3:G28,MATCH(24,B4:B29,0),2)</f>
        <v>4830</v>
      </c>
      <c r="E27" s="61">
        <f>INDEX('1bezr.'!B3:G28,MATCH(24,B4:B29,0),3)</f>
        <v>4758</v>
      </c>
      <c r="F27" s="6">
        <f>INDEX('1bezr.'!B3:G28,MATCH(24,B4:B29,0),4)</f>
        <v>72</v>
      </c>
      <c r="G27" s="61">
        <f>INDEX('1bezr.'!B3:G28,MATCH(24,B4:B29,0),5)</f>
        <v>4770</v>
      </c>
      <c r="H27" s="6">
        <f>INDEX('1bezr.'!B3:G28,MATCH(24,B4:B29,0),6)</f>
        <v>60</v>
      </c>
      <c r="V27" s="6">
        <f>RANK('1bezr.'!E26,'1bezr.'!$E$3:'1bezr.'!$E$28,1)+COUNTIF('1bezr.'!$E$3:'1bezr.'!E26,'1bezr.'!E26)-1</f>
        <v>1</v>
      </c>
      <c r="W27" s="79" t="str">
        <f>INDEX('1bezr.'!B3:G28,MATCH(24,V4:V29,0),1)</f>
        <v>przemyski</v>
      </c>
      <c r="X27" s="6">
        <f>INDEX('1bezr.'!E3:G28,MATCH(24,V4:V29,0),1)</f>
        <v>61</v>
      </c>
      <c r="Y27" s="6">
        <v>17</v>
      </c>
      <c r="Z27" s="2">
        <v>14</v>
      </c>
      <c r="AA27" s="6">
        <f>RANK('1bezr.'!C26,'1bezr.'!$C$3:'1bezr.'!$C$28,1)+COUNTIF('1bezr.'!$C$3:'1bezr.'!C26,'1bezr.'!C26)-1</f>
        <v>25</v>
      </c>
      <c r="AB27" s="79" t="str">
        <f>INDEX('1bezr.'!B3:G28,MATCH(2,AA4:AA29,0),1)</f>
        <v>bieszczadzki</v>
      </c>
      <c r="AC27" s="6">
        <f>INDEX('1bezr.'!B3:K28,MATCH(2,AA4:AA29,0),2)</f>
        <v>987</v>
      </c>
    </row>
    <row r="28" spans="2:29" x14ac:dyDescent="0.2">
      <c r="B28" s="6">
        <f>RANK('1bezr.'!C27,'1bezr.'!$C$3:'1bezr.'!$C$28,1)+COUNTIF('1bezr.'!$C$3:'1bezr.'!C27,'1bezr.'!C27)-1</f>
        <v>3</v>
      </c>
      <c r="C28" s="5" t="str">
        <f>INDEX('1bezr.'!B3:G28,MATCH(25,B4:B29,0),1)</f>
        <v>Rzeszów</v>
      </c>
      <c r="D28" s="6">
        <f>INDEX('1bezr.'!B3:G28,MATCH(25,B4:B29,0),2)</f>
        <v>5011</v>
      </c>
      <c r="E28" s="61">
        <f>INDEX('1bezr.'!B3:G28,MATCH(25,B4:B29,0),3)</f>
        <v>5077</v>
      </c>
      <c r="F28" s="184">
        <f>INDEX('1bezr.'!B3:G28,MATCH(25,B4:B29,0),4)</f>
        <v>-66</v>
      </c>
      <c r="G28" s="61">
        <f>INDEX('1bezr.'!B3:G28,MATCH(25,B4:B29,0),5)</f>
        <v>5585</v>
      </c>
      <c r="H28" s="6">
        <f>INDEX('1bezr.'!B3:G28,MATCH(25,B4:B29,0),6)</f>
        <v>-574</v>
      </c>
      <c r="V28" s="6">
        <f>RANK('1bezr.'!E27,'1bezr.'!$E$3:'1bezr.'!$E$28,1)+COUNTIF('1bezr.'!$E$3:'1bezr.'!E27,'1bezr.'!E27)-1</f>
        <v>12</v>
      </c>
      <c r="W28" s="165" t="str">
        <f>INDEX('1bezr.'!B3:G28,MATCH(25,V4:V29,0),1)</f>
        <v>jasielski</v>
      </c>
      <c r="X28" s="111">
        <f>INDEX('1bezr.'!E3:G28,MATCH(25,V4:V29,0),1)</f>
        <v>72</v>
      </c>
      <c r="Y28" s="6">
        <v>18</v>
      </c>
      <c r="Z28" s="2">
        <v>15</v>
      </c>
      <c r="AA28" s="6">
        <f>RANK('1bezr.'!C27,'1bezr.'!$C$3:'1bezr.'!$C$28,1)+COUNTIF('1bezr.'!$C$3:'1bezr.'!C27,'1bezr.'!C27)-1</f>
        <v>3</v>
      </c>
      <c r="AB28" s="79" t="str">
        <f>INDEX('1bezr.'!B3:G28,MATCH(1,AA4:AA29,0),1)</f>
        <v>Krosno</v>
      </c>
      <c r="AC28" s="6">
        <f>INDEX('1bezr.'!B3:K28,MATCH(1,AA4:AA29,0),2)</f>
        <v>765</v>
      </c>
    </row>
    <row r="29" spans="2:29" ht="15" x14ac:dyDescent="0.25">
      <c r="B29" s="59">
        <f>RANK('1bezr.'!C28,'1bezr.'!$C$3:'1bezr.'!$C$28,1)+COUNTIF('1bezr.'!$C$3:'1bezr.'!C28,'1bezr.'!C28)-1</f>
        <v>26</v>
      </c>
      <c r="C29" s="58" t="str">
        <f>INDEX('1bezr.'!B3:G28,MATCH(26,B4:B29,0),1)</f>
        <v>województwo</v>
      </c>
      <c r="D29" s="59">
        <f>INDEX('1bezr.'!B3:G28,MATCH(26,B4:B29,0),2)</f>
        <v>64968</v>
      </c>
      <c r="E29" s="63">
        <f>INDEX('1bezr.'!B3:G28,MATCH(26,B4:B29,0),3)</f>
        <v>64746</v>
      </c>
      <c r="F29" s="59">
        <f>INDEX('1bezr.'!B3:G28,MATCH(26,B4:B29,0),4)</f>
        <v>222</v>
      </c>
      <c r="G29" s="63">
        <f>INDEX('1bezr.'!B3:G28,MATCH(26,B4:B29,0),5)</f>
        <v>67410</v>
      </c>
      <c r="H29" s="59">
        <f>INDEX('1bezr.'!B3:G28,MATCH(26,B4:B29,0),6)</f>
        <v>-2442</v>
      </c>
      <c r="V29" s="6">
        <f>RANK('1bezr.'!E28,'1bezr.'!$E$3:'1bezr.'!$E$28,1)+COUNTIF('1bezr.'!$E$3:'1bezr.'!E28,'1bezr.'!E28)-1</f>
        <v>26</v>
      </c>
      <c r="W29" s="166" t="str">
        <f>INDEX('1bezr.'!B3:G28,MATCH(26,V4:V29,0),1)</f>
        <v>województwo</v>
      </c>
      <c r="X29" s="111">
        <f>INDEX('1bezr.'!E3:G28,MATCH(26,V4:V29,0),1)</f>
        <v>222</v>
      </c>
      <c r="Y29" s="6">
        <v>19</v>
      </c>
      <c r="Z29" s="2">
        <v>16</v>
      </c>
      <c r="AA29" s="6">
        <f>RANK('1bezr.'!C28,'1bezr.'!$C$3:'1bezr.'!$C$28,1)+COUNTIF('1bezr.'!$C$3:'1bezr.'!C28,'1bezr.'!C28)-1</f>
        <v>26</v>
      </c>
      <c r="AB29" s="166" t="str">
        <f>INDEX('1bezr.'!B3:G28,MATCH(26,AA4:AA29,0),1)</f>
        <v>województwo</v>
      </c>
      <c r="AC29" s="111">
        <f>INDEX('1bezr.'!B3:K28,MATCH(26,AA4:AA29,0),2)</f>
        <v>64968</v>
      </c>
    </row>
    <row r="30" spans="2:29" x14ac:dyDescent="0.2">
      <c r="F30" s="19"/>
      <c r="H30" s="19"/>
      <c r="X30" s="81">
        <f>SUM(X5:X29)</f>
        <v>510</v>
      </c>
      <c r="Y30" s="81"/>
      <c r="AC30" s="81">
        <f>SUM(AC4:AC28)</f>
        <v>64968</v>
      </c>
    </row>
  </sheetData>
  <pageMargins left="0" right="0" top="0.31496062992125984" bottom="0.31496062992125984" header="0" footer="0"/>
  <pageSetup paperSize="9" scale="4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1.7109375" style="3" customWidth="1"/>
    <col min="5" max="5" width="11.85546875" style="3" customWidth="1"/>
    <col min="6" max="6" width="16.28515625" style="3" customWidth="1"/>
    <col min="7" max="7" width="11.28515625" style="3" customWidth="1"/>
    <col min="8" max="8" width="17.570312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85</v>
      </c>
      <c r="C1" s="50"/>
      <c r="D1" s="50"/>
      <c r="E1" s="50"/>
      <c r="F1" s="50"/>
      <c r="G1" s="50"/>
      <c r="H1" s="50"/>
    </row>
    <row r="2" spans="2:8" ht="15" x14ac:dyDescent="0.2">
      <c r="C2" s="20"/>
      <c r="D2" s="21"/>
    </row>
    <row r="3" spans="2:8" ht="57" x14ac:dyDescent="0.2">
      <c r="B3" s="62" t="s">
        <v>86</v>
      </c>
      <c r="C3" s="55" t="str">
        <f>T('10oferty s.'!B3)</f>
        <v>powiaty</v>
      </c>
      <c r="D3" s="55" t="str">
        <f>T('10oferty s.'!C3)</f>
        <v>liczba ofert w X '23 r.</v>
      </c>
      <c r="E3" s="55" t="str">
        <f>T('10oferty s.'!D3)</f>
        <v>liczba ofert w IX '23 r.</v>
      </c>
      <c r="F3" s="55" t="str">
        <f>T('10oferty s.'!E3)</f>
        <v>wzrost/spadek do poprzedniego  miesiąca</v>
      </c>
      <c r="G3" s="55" t="str">
        <f>T('10oferty s.'!F3)</f>
        <v>liczba ofert w X '22 r.</v>
      </c>
      <c r="H3" s="55" t="str">
        <f>T('10oferty s.'!G3)</f>
        <v>wzrost/spadek do analogicznego okresu ubr.</v>
      </c>
    </row>
    <row r="4" spans="2:8" x14ac:dyDescent="0.2">
      <c r="B4" s="6">
        <f>RANK('10oferty s.'!C4,'10oferty s.'!$C$4:'10oferty s.'!$C$29,1)+COUNTIF('10oferty s.'!$C$4:'10oferty s.'!C4,'10oferty s.'!C4)-1</f>
        <v>2</v>
      </c>
      <c r="C4" s="5" t="str">
        <f>INDEX('10oferty s.'!B4:G29,MATCH(1,B4:B29,0),1)</f>
        <v>leski</v>
      </c>
      <c r="D4" s="25">
        <f>INDEX('10oferty s.'!B4:G29,MATCH(1,B4:B29,0),2)</f>
        <v>2</v>
      </c>
      <c r="E4" s="61">
        <f>INDEX('10oferty s.'!B4:G29,MATCH(1,B4:B29,0),3)</f>
        <v>14</v>
      </c>
      <c r="F4" s="6">
        <f>INDEX('10oferty s.'!B4:G29,MATCH(1,B4:B29,0),4)</f>
        <v>-12</v>
      </c>
      <c r="G4" s="61">
        <f>INDEX('10oferty s.'!B4:G29,MATCH(1,B4:B29,0),5)</f>
        <v>15</v>
      </c>
      <c r="H4" s="6">
        <f>INDEX('10oferty s.'!B4:G29,MATCH(1,B4:B29,0),6)</f>
        <v>-13</v>
      </c>
    </row>
    <row r="5" spans="2:8" x14ac:dyDescent="0.2">
      <c r="B5" s="6">
        <f>RANK('10oferty s.'!C5,'10oferty s.'!$C$4:'10oferty s.'!$C$29,1)+COUNTIF('10oferty s.'!$C$4:'10oferty s.'!C5,'10oferty s.'!C5)-1</f>
        <v>14</v>
      </c>
      <c r="C5" s="5" t="str">
        <f>INDEX('10oferty s.'!B4:G29,MATCH(2,B4:B29,0),1)</f>
        <v>bieszczadzki</v>
      </c>
      <c r="D5" s="6">
        <f>INDEX('10oferty s.'!B4:G29,MATCH(2,B4:B29,0),2)</f>
        <v>3</v>
      </c>
      <c r="E5" s="61">
        <f>INDEX('10oferty s.'!B4:G29,MATCH(2,B4:B29,0),3)</f>
        <v>14</v>
      </c>
      <c r="F5" s="6">
        <f>INDEX('10oferty s.'!B4:G29,MATCH(2,B4:B29,0),4)</f>
        <v>-11</v>
      </c>
      <c r="G5" s="61">
        <f>INDEX('10oferty s.'!B4:G29,MATCH(2,B4:B29,0),5)</f>
        <v>24</v>
      </c>
      <c r="H5" s="6">
        <f>INDEX('10oferty s.'!B4:G29,MATCH(2,B4:B29,0),6)</f>
        <v>-21</v>
      </c>
    </row>
    <row r="6" spans="2:8" x14ac:dyDescent="0.2">
      <c r="B6" s="6">
        <f>RANK('10oferty s.'!C6,'10oferty s.'!$C$4:'10oferty s.'!$C$29,1)+COUNTIF('10oferty s.'!$C$4:'10oferty s.'!C6,'10oferty s.'!C6)-1</f>
        <v>18</v>
      </c>
      <c r="C6" s="5" t="str">
        <f>INDEX('10oferty s.'!B4:G29,MATCH(3,B4:B29,0),1)</f>
        <v>łańcucki</v>
      </c>
      <c r="D6" s="6">
        <f>INDEX('10oferty s.'!B4:G29,MATCH(3,B4:B29,0),2)</f>
        <v>4</v>
      </c>
      <c r="E6" s="61">
        <f>INDEX('10oferty s.'!B4:G29,MATCH(3,B4:B29,0),3)</f>
        <v>8</v>
      </c>
      <c r="F6" s="6">
        <f>INDEX('10oferty s.'!B4:G29,MATCH(3,B4:B29,0),4)</f>
        <v>-4</v>
      </c>
      <c r="G6" s="61">
        <f>INDEX('10oferty s.'!B4:G29,MATCH(3,B4:B29,0),5)</f>
        <v>59</v>
      </c>
      <c r="H6" s="6">
        <f>INDEX('10oferty s.'!B4:G29,MATCH(3,B4:B29,0),6)</f>
        <v>-55</v>
      </c>
    </row>
    <row r="7" spans="2:8" x14ac:dyDescent="0.2">
      <c r="B7" s="6">
        <f>RANK('10oferty s.'!C7,'10oferty s.'!$C$4:'10oferty s.'!$C$29,1)+COUNTIF('10oferty s.'!$C$4:'10oferty s.'!C7,'10oferty s.'!C7)-1</f>
        <v>23</v>
      </c>
      <c r="C7" s="5" t="str">
        <f>INDEX('10oferty s.'!B4:G29,MATCH(4,B4:B29,0),1)</f>
        <v>leżajski</v>
      </c>
      <c r="D7" s="6">
        <f>INDEX('10oferty s.'!B4:G29,MATCH(4,B4:B29,0),2)</f>
        <v>5</v>
      </c>
      <c r="E7" s="61">
        <f>INDEX('10oferty s.'!B4:G29,MATCH(4,B4:B29,0),3)</f>
        <v>18</v>
      </c>
      <c r="F7" s="6">
        <f>INDEX('10oferty s.'!B4:G29,MATCH(4,B4:B29,0),4)</f>
        <v>-13</v>
      </c>
      <c r="G7" s="61">
        <f>INDEX('10oferty s.'!B4:G29,MATCH(4,B4:B29,0),5)</f>
        <v>48</v>
      </c>
      <c r="H7" s="6">
        <f>INDEX('10oferty s.'!B4:G29,MATCH(4,B4:B29,0),6)</f>
        <v>-43</v>
      </c>
    </row>
    <row r="8" spans="2:8" x14ac:dyDescent="0.2">
      <c r="B8" s="6">
        <f>RANK('10oferty s.'!C8,'10oferty s.'!$C$4:'10oferty s.'!$C$29,1)+COUNTIF('10oferty s.'!$C$4:'10oferty s.'!C8,'10oferty s.'!C8)-1</f>
        <v>19</v>
      </c>
      <c r="C8" s="5" t="str">
        <f>INDEX('10oferty s.'!B4:G29,MATCH(5,B4:B29,0),1)</f>
        <v>Tarnobrzeg</v>
      </c>
      <c r="D8" s="6">
        <f>INDEX('10oferty s.'!B4:G29,MATCH(5,B4:B29,0),2)</f>
        <v>13</v>
      </c>
      <c r="E8" s="61">
        <f>INDEX('10oferty s.'!B4:G29,MATCH(5,B4:B29,0),3)</f>
        <v>13</v>
      </c>
      <c r="F8" s="6">
        <f>INDEX('10oferty s.'!B4:G29,MATCH(5,B4:B29,0),4)</f>
        <v>0</v>
      </c>
      <c r="G8" s="61">
        <f>INDEX('10oferty s.'!B4:G29,MATCH(5,B4:B29,0),5)</f>
        <v>47</v>
      </c>
      <c r="H8" s="6">
        <f>INDEX('10oferty s.'!B4:G29,MATCH(5,B4:B29,0),6)</f>
        <v>-34</v>
      </c>
    </row>
    <row r="9" spans="2:8" x14ac:dyDescent="0.2">
      <c r="B9" s="6">
        <f>RANK('10oferty s.'!C9,'10oferty s.'!$C$4:'10oferty s.'!$C$29,1)+COUNTIF('10oferty s.'!$C$4:'10oferty s.'!C9,'10oferty s.'!C9)-1</f>
        <v>15</v>
      </c>
      <c r="C9" s="5" t="str">
        <f>INDEX('10oferty s.'!B4:G29,MATCH(6,B4:B29,0),1)</f>
        <v>stalowowolski</v>
      </c>
      <c r="D9" s="6">
        <f>INDEX('10oferty s.'!B4:G29,MATCH(6,B4:B29,0),2)</f>
        <v>17</v>
      </c>
      <c r="E9" s="61">
        <f>INDEX('10oferty s.'!B4:G29,MATCH(6,B4:B29,0),3)</f>
        <v>23</v>
      </c>
      <c r="F9" s="6">
        <f>INDEX('10oferty s.'!B4:G29,MATCH(6,B4:B29,0),4)</f>
        <v>-6</v>
      </c>
      <c r="G9" s="61">
        <f>INDEX('10oferty s.'!B4:G29,MATCH(6,B4:B29,0),5)</f>
        <v>70</v>
      </c>
      <c r="H9" s="6">
        <f>INDEX('10oferty s.'!B4:G29,MATCH(6,B4:B29,0),6)</f>
        <v>-53</v>
      </c>
    </row>
    <row r="10" spans="2:8" x14ac:dyDescent="0.2">
      <c r="B10" s="6">
        <f>RANK('10oferty s.'!C10,'10oferty s.'!$C$4:'10oferty s.'!$C$29,1)+COUNTIF('10oferty s.'!$C$4:'10oferty s.'!C10,'10oferty s.'!C10)-1</f>
        <v>7</v>
      </c>
      <c r="C10" s="9" t="str">
        <f>INDEX('10oferty s.'!B4:G29,MATCH(7,B4:B29,0),1)</f>
        <v>krośnieński</v>
      </c>
      <c r="D10" s="6">
        <f>INDEX('10oferty s.'!B4:G29,MATCH(7,B4:B29,0),2)</f>
        <v>18</v>
      </c>
      <c r="E10" s="61">
        <f>INDEX('10oferty s.'!B4:G29,MATCH(7,B4:B29,0),3)</f>
        <v>30</v>
      </c>
      <c r="F10" s="6">
        <f>INDEX('10oferty s.'!B4:G29,MATCH(7,B4:B29,0),4)</f>
        <v>-12</v>
      </c>
      <c r="G10" s="61">
        <f>INDEX('10oferty s.'!B4:G29,MATCH(7,B4:B29,0),5)</f>
        <v>22</v>
      </c>
      <c r="H10" s="6">
        <f>INDEX('10oferty s.'!B4:G29,MATCH(7,B4:B29,0),6)</f>
        <v>-4</v>
      </c>
    </row>
    <row r="11" spans="2:8" x14ac:dyDescent="0.2">
      <c r="B11" s="6">
        <f>RANK('10oferty s.'!C11,'10oferty s.'!$C$4:'10oferty s.'!$C$29,1)+COUNTIF('10oferty s.'!$C$4:'10oferty s.'!C11,'10oferty s.'!C11)-1</f>
        <v>1</v>
      </c>
      <c r="C11" s="5" t="str">
        <f>INDEX('10oferty s.'!B4:G29,MATCH(8,B4:B29,0),1)</f>
        <v>mielecki</v>
      </c>
      <c r="D11" s="6">
        <f>INDEX('10oferty s.'!B4:G29,MATCH(8,B4:B29,0),2)</f>
        <v>18</v>
      </c>
      <c r="E11" s="61">
        <f>INDEX('10oferty s.'!B4:G29,MATCH(8,B4:B29,0),3)</f>
        <v>63</v>
      </c>
      <c r="F11" s="6">
        <f>INDEX('10oferty s.'!B4:G29,MATCH(8,B4:B29,0),4)</f>
        <v>-45</v>
      </c>
      <c r="G11" s="61">
        <f>INDEX('10oferty s.'!B4:G29,MATCH(8,B4:B29,0),5)</f>
        <v>146</v>
      </c>
      <c r="H11" s="6">
        <f>INDEX('10oferty s.'!B4:G29,MATCH(8,B4:B29,0),6)</f>
        <v>-128</v>
      </c>
    </row>
    <row r="12" spans="2:8" x14ac:dyDescent="0.2">
      <c r="B12" s="6">
        <f>RANK('10oferty s.'!C12,'10oferty s.'!$C$4:'10oferty s.'!$C$29,1)+COUNTIF('10oferty s.'!$C$4:'10oferty s.'!C12,'10oferty s.'!C12)-1</f>
        <v>4</v>
      </c>
      <c r="C12" s="5" t="str">
        <f>INDEX('10oferty s.'!B4:G29,MATCH(9,B4:B29,0),1)</f>
        <v>rzeszowski</v>
      </c>
      <c r="D12" s="6">
        <f>INDEX('10oferty s.'!B4:G29,MATCH(9,B4:B29,0),2)</f>
        <v>19</v>
      </c>
      <c r="E12" s="61">
        <f>INDEX('10oferty s.'!B4:G29,MATCH(9,B4:B29,0),3)</f>
        <v>25</v>
      </c>
      <c r="F12" s="6">
        <f>INDEX('10oferty s.'!B4:G29,MATCH(9,B4:B29,0),4)</f>
        <v>-6</v>
      </c>
      <c r="G12" s="61">
        <f>INDEX('10oferty s.'!B4:G29,MATCH(9,B4:B29,0),5)</f>
        <v>35</v>
      </c>
      <c r="H12" s="6">
        <f>INDEX('10oferty s.'!B4:G29,MATCH(9,B4:B29,0),6)</f>
        <v>-16</v>
      </c>
    </row>
    <row r="13" spans="2:8" x14ac:dyDescent="0.2">
      <c r="B13" s="6">
        <f>RANK('10oferty s.'!C13,'10oferty s.'!$C$4:'10oferty s.'!$C$29,1)+COUNTIF('10oferty s.'!$C$4:'10oferty s.'!C13,'10oferty s.'!C13)-1</f>
        <v>17</v>
      </c>
      <c r="C13" s="5" t="str">
        <f>INDEX('10oferty s.'!B4:G29,MATCH(10,B4:B29,0),1)</f>
        <v>przemyski</v>
      </c>
      <c r="D13" s="6">
        <f>INDEX('10oferty s.'!B4:G29,MATCH(10,B4:B29,0),2)</f>
        <v>22</v>
      </c>
      <c r="E13" s="61">
        <f>INDEX('10oferty s.'!B4:G29,MATCH(10,B4:B29,0),3)</f>
        <v>35</v>
      </c>
      <c r="F13" s="6">
        <f>INDEX('10oferty s.'!B4:G29,MATCH(10,B4:B29,0),4)</f>
        <v>-13</v>
      </c>
      <c r="G13" s="61">
        <f>INDEX('10oferty s.'!B4:G29,MATCH(10,B4:B29,0),5)</f>
        <v>32</v>
      </c>
      <c r="H13" s="6">
        <f>INDEX('10oferty s.'!B4:G29,MATCH(10,B4:B29,0),6)</f>
        <v>-10</v>
      </c>
    </row>
    <row r="14" spans="2:8" x14ac:dyDescent="0.2">
      <c r="B14" s="6">
        <f>RANK('10oferty s.'!C14,'10oferty s.'!$C$4:'10oferty s.'!$C$29,1)+COUNTIF('10oferty s.'!$C$4:'10oferty s.'!C14,'10oferty s.'!C14)-1</f>
        <v>3</v>
      </c>
      <c r="C14" s="5" t="str">
        <f>INDEX('10oferty s.'!B4:G29,MATCH(11,B4:B29,0),1)</f>
        <v>Krosno</v>
      </c>
      <c r="D14" s="6">
        <f>INDEX('10oferty s.'!B4:G29,MATCH(11,B4:B29,0),2)</f>
        <v>28</v>
      </c>
      <c r="E14" s="61">
        <f>INDEX('10oferty s.'!B4:G29,MATCH(11,B4:B29,0),3)</f>
        <v>16</v>
      </c>
      <c r="F14" s="6">
        <f>INDEX('10oferty s.'!B4:G29,MATCH(11,B4:B29,0),4)</f>
        <v>12</v>
      </c>
      <c r="G14" s="61">
        <f>INDEX('10oferty s.'!B4:G29,MATCH(11,B4:B29,0),5)</f>
        <v>19</v>
      </c>
      <c r="H14" s="6">
        <f>INDEX('10oferty s.'!B4:G29,MATCH(11,B4:B29,0),6)</f>
        <v>9</v>
      </c>
    </row>
    <row r="15" spans="2:8" x14ac:dyDescent="0.2">
      <c r="B15" s="6">
        <f>RANK('10oferty s.'!C15,'10oferty s.'!$C$4:'10oferty s.'!$C$29,1)+COUNTIF('10oferty s.'!$C$4:'10oferty s.'!C15,'10oferty s.'!C15)-1</f>
        <v>8</v>
      </c>
      <c r="C15" s="5" t="str">
        <f>INDEX('10oferty s.'!B4:G29,MATCH(12,B4:B29,0),1)</f>
        <v>Przemyśl</v>
      </c>
      <c r="D15" s="6">
        <f>INDEX('10oferty s.'!B4:G29,MATCH(12,B4:B29,0),2)</f>
        <v>28</v>
      </c>
      <c r="E15" s="61">
        <f>INDEX('10oferty s.'!B4:G29,MATCH(12,B4:B29,0),3)</f>
        <v>50</v>
      </c>
      <c r="F15" s="6">
        <f>INDEX('10oferty s.'!B4:G29,MATCH(12,B4:B29,0),4)</f>
        <v>-22</v>
      </c>
      <c r="G15" s="61">
        <f>INDEX('10oferty s.'!B4:G29,MATCH(12,B4:B29,0),5)</f>
        <v>54</v>
      </c>
      <c r="H15" s="6">
        <f>INDEX('10oferty s.'!B4:G29,MATCH(12,B4:B29,0),6)</f>
        <v>-26</v>
      </c>
    </row>
    <row r="16" spans="2:8" x14ac:dyDescent="0.2">
      <c r="B16" s="6">
        <f>RANK('10oferty s.'!C16,'10oferty s.'!$C$4:'10oferty s.'!$C$29,1)+COUNTIF('10oferty s.'!$C$4:'10oferty s.'!C16,'10oferty s.'!C16)-1</f>
        <v>16</v>
      </c>
      <c r="C16" s="5" t="str">
        <f>INDEX('10oferty s.'!B4:G29,MATCH(13,B4:B29,0),1)</f>
        <v xml:space="preserve">tarnobrzeski </v>
      </c>
      <c r="D16" s="6">
        <f>INDEX('10oferty s.'!B4:G29,MATCH(13,B4:B29,0),2)</f>
        <v>31</v>
      </c>
      <c r="E16" s="61">
        <f>INDEX('10oferty s.'!B4:G29,MATCH(13,B4:B29,0),3)</f>
        <v>17</v>
      </c>
      <c r="F16" s="6">
        <f>INDEX('10oferty s.'!B4:G29,MATCH(13,B4:B29,0),4)</f>
        <v>14</v>
      </c>
      <c r="G16" s="61">
        <f>INDEX('10oferty s.'!B4:G29,MATCH(13,B4:B29,0),5)</f>
        <v>20</v>
      </c>
      <c r="H16" s="6">
        <f>INDEX('10oferty s.'!B4:G29,MATCH(13,B4:B29,0),6)</f>
        <v>11</v>
      </c>
    </row>
    <row r="17" spans="2:8" x14ac:dyDescent="0.2">
      <c r="B17" s="6">
        <f>RANK('10oferty s.'!C17,'10oferty s.'!$C$4:'10oferty s.'!$C$29,1)+COUNTIF('10oferty s.'!$C$4:'10oferty s.'!C17,'10oferty s.'!C17)-1</f>
        <v>10</v>
      </c>
      <c r="C17" s="5" t="str">
        <f>INDEX('10oferty s.'!B4:G29,MATCH(14,B4:B29,0),1)</f>
        <v>brzozowski</v>
      </c>
      <c r="D17" s="6">
        <f>INDEX('10oferty s.'!B4:G29,MATCH(14,B4:B29,0),2)</f>
        <v>35</v>
      </c>
      <c r="E17" s="61">
        <f>INDEX('10oferty s.'!B4:G29,MATCH(14,B4:B29,0),3)</f>
        <v>66</v>
      </c>
      <c r="F17" s="6">
        <f>INDEX('10oferty s.'!B4:G29,MATCH(14,B4:B29,0),4)</f>
        <v>-31</v>
      </c>
      <c r="G17" s="61">
        <f>INDEX('10oferty s.'!B4:G29,MATCH(14,B4:B29,0),5)</f>
        <v>66</v>
      </c>
      <c r="H17" s="6">
        <f>INDEX('10oferty s.'!B4:G29,MATCH(14,B4:B29,0),6)</f>
        <v>-31</v>
      </c>
    </row>
    <row r="18" spans="2:8" x14ac:dyDescent="0.2">
      <c r="B18" s="6">
        <f>RANK('10oferty s.'!C18,'10oferty s.'!$C$4:'10oferty s.'!$C$29,1)+COUNTIF('10oferty s.'!$C$4:'10oferty s.'!C18,'10oferty s.'!C18)-1</f>
        <v>25</v>
      </c>
      <c r="C18" s="5" t="str">
        <f>INDEX('10oferty s.'!B4:G29,MATCH(15,B4:B29,0),1)</f>
        <v>kolbuszowski</v>
      </c>
      <c r="D18" s="6">
        <f>INDEX('10oferty s.'!B4:G29,MATCH(15,B4:B29,0),2)</f>
        <v>43</v>
      </c>
      <c r="E18" s="61">
        <f>INDEX('10oferty s.'!B4:G29,MATCH(15,B4:B29,0),3)</f>
        <v>36</v>
      </c>
      <c r="F18" s="6">
        <f>INDEX('10oferty s.'!B4:G29,MATCH(15,B4:B29,0),4)</f>
        <v>7</v>
      </c>
      <c r="G18" s="61">
        <f>INDEX('10oferty s.'!B4:G29,MATCH(15,B4:B29,0),5)</f>
        <v>42</v>
      </c>
      <c r="H18" s="6">
        <f>INDEX('10oferty s.'!B4:G29,MATCH(15,B4:B29,0),6)</f>
        <v>1</v>
      </c>
    </row>
    <row r="19" spans="2:8" x14ac:dyDescent="0.2">
      <c r="B19" s="6">
        <f>RANK('10oferty s.'!C19,'10oferty s.'!$C$4:'10oferty s.'!$C$29,1)+COUNTIF('10oferty s.'!$C$4:'10oferty s.'!C19,'10oferty s.'!C19)-1</f>
        <v>22</v>
      </c>
      <c r="C19" s="5" t="str">
        <f>INDEX('10oferty s.'!B4:G29,MATCH(16,B4:B29,0),1)</f>
        <v>niżański</v>
      </c>
      <c r="D19" s="6">
        <f>INDEX('10oferty s.'!B4:G29,MATCH(16,B4:B29,0),2)</f>
        <v>44</v>
      </c>
      <c r="E19" s="61">
        <f>INDEX('10oferty s.'!B4:G29,MATCH(16,B4:B29,0),3)</f>
        <v>58</v>
      </c>
      <c r="F19" s="6">
        <f>INDEX('10oferty s.'!B4:G29,MATCH(16,B4:B29,0),4)</f>
        <v>-14</v>
      </c>
      <c r="G19" s="61">
        <f>INDEX('10oferty s.'!B4:G29,MATCH(16,B4:B29,0),5)</f>
        <v>62</v>
      </c>
      <c r="H19" s="6">
        <f>INDEX('10oferty s.'!B4:G29,MATCH(16,B4:B29,0),6)</f>
        <v>-18</v>
      </c>
    </row>
    <row r="20" spans="2:8" x14ac:dyDescent="0.2">
      <c r="B20" s="6">
        <f>RANK('10oferty s.'!C20,'10oferty s.'!$C$4:'10oferty s.'!$C$29,1)+COUNTIF('10oferty s.'!$C$4:'10oferty s.'!C20,'10oferty s.'!C20)-1</f>
        <v>9</v>
      </c>
      <c r="C20" s="5" t="str">
        <f>INDEX('10oferty s.'!B4:G29,MATCH(17,B4:B29,0),1)</f>
        <v>lubaczowski</v>
      </c>
      <c r="D20" s="6">
        <f>INDEX('10oferty s.'!B4:G29,MATCH(17,B4:B29,0),2)</f>
        <v>45</v>
      </c>
      <c r="E20" s="61">
        <f>INDEX('10oferty s.'!B4:G29,MATCH(17,B4:B29,0),3)</f>
        <v>39</v>
      </c>
      <c r="F20" s="6">
        <f>INDEX('10oferty s.'!B4:G29,MATCH(17,B4:B29,0),4)</f>
        <v>6</v>
      </c>
      <c r="G20" s="61">
        <f>INDEX('10oferty s.'!B4:G29,MATCH(17,B4:B29,0),5)</f>
        <v>48</v>
      </c>
      <c r="H20" s="6">
        <f>INDEX('10oferty s.'!B4:G29,MATCH(17,B4:B29,0),6)</f>
        <v>-3</v>
      </c>
    </row>
    <row r="21" spans="2:8" x14ac:dyDescent="0.2">
      <c r="B21" s="6">
        <f>RANK('10oferty s.'!C21,'10oferty s.'!$C$4:'10oferty s.'!$C$29,1)+COUNTIF('10oferty s.'!$C$4:'10oferty s.'!C21,'10oferty s.'!C21)-1</f>
        <v>21</v>
      </c>
      <c r="C21" s="5" t="str">
        <f>INDEX('10oferty s.'!B4:G29,MATCH(18,B4:B29,0),1)</f>
        <v>dębicki</v>
      </c>
      <c r="D21" s="6">
        <f>INDEX('10oferty s.'!B4:G29,MATCH(18,B4:B29,0),2)</f>
        <v>46</v>
      </c>
      <c r="E21" s="61">
        <f>INDEX('10oferty s.'!B4:G29,MATCH(18,B4:B29,0),3)</f>
        <v>58</v>
      </c>
      <c r="F21" s="6">
        <f>INDEX('10oferty s.'!B4:G29,MATCH(18,B4:B29,0),4)</f>
        <v>-12</v>
      </c>
      <c r="G21" s="61">
        <f>INDEX('10oferty s.'!B4:G29,MATCH(18,B4:B29,0),5)</f>
        <v>78</v>
      </c>
      <c r="H21" s="6">
        <f>INDEX('10oferty s.'!B4:G29,MATCH(18,B4:B29,0),6)</f>
        <v>-32</v>
      </c>
    </row>
    <row r="22" spans="2:8" x14ac:dyDescent="0.2">
      <c r="B22" s="6">
        <f>RANK('10oferty s.'!C22,'10oferty s.'!$C$4:'10oferty s.'!$C$29,1)+COUNTIF('10oferty s.'!$C$4:'10oferty s.'!C22,'10oferty s.'!C22)-1</f>
        <v>6</v>
      </c>
      <c r="C22" s="5" t="str">
        <f>INDEX('10oferty s.'!B4:G29,MATCH(19,B4:B29,0),1)</f>
        <v>jasielski</v>
      </c>
      <c r="D22" s="6">
        <f>INDEX('10oferty s.'!B4:G29,MATCH(19,B4:B29,0),2)</f>
        <v>48</v>
      </c>
      <c r="E22" s="61">
        <f>INDEX('10oferty s.'!B4:G29,MATCH(19,B4:B29,0),3)</f>
        <v>80</v>
      </c>
      <c r="F22" s="6">
        <f>INDEX('10oferty s.'!B4:G29,MATCH(19,B4:B29,0),4)</f>
        <v>-32</v>
      </c>
      <c r="G22" s="61">
        <f>INDEX('10oferty s.'!B4:G29,MATCH(19,B4:B29,0),5)</f>
        <v>122</v>
      </c>
      <c r="H22" s="6">
        <f>INDEX('10oferty s.'!B4:G29,MATCH(19,B4:B29,0),6)</f>
        <v>-74</v>
      </c>
    </row>
    <row r="23" spans="2:8" x14ac:dyDescent="0.2">
      <c r="B23" s="6">
        <f>RANK('10oferty s.'!C23,'10oferty s.'!$C$4:'10oferty s.'!$C$29,1)+COUNTIF('10oferty s.'!$C$4:'10oferty s.'!C23,'10oferty s.'!C23)-1</f>
        <v>24</v>
      </c>
      <c r="C23" s="5" t="str">
        <f>INDEX('10oferty s.'!B4:G29,MATCH(20,B4:B29,0),1)</f>
        <v>Rzeszów</v>
      </c>
      <c r="D23" s="6">
        <f>INDEX('10oferty s.'!B4:G29,MATCH(20,B4:B29,0),2)</f>
        <v>50</v>
      </c>
      <c r="E23" s="61">
        <f>INDEX('10oferty s.'!B4:G29,MATCH(20,B4:B29,0),3)</f>
        <v>53</v>
      </c>
      <c r="F23" s="6">
        <f>INDEX('10oferty s.'!B4:G29,MATCH(20,B4:B29,0),4)</f>
        <v>-3</v>
      </c>
      <c r="G23" s="61">
        <f>INDEX('10oferty s.'!B4:G29,MATCH(20,B4:B29,0),5)</f>
        <v>104</v>
      </c>
      <c r="H23" s="6">
        <f>INDEX('10oferty s.'!B4:G29,MATCH(20,B4:B29,0),6)</f>
        <v>-54</v>
      </c>
    </row>
    <row r="24" spans="2:8" x14ac:dyDescent="0.2">
      <c r="B24" s="6">
        <f>RANK('10oferty s.'!C24,'10oferty s.'!$C$4:'10oferty s.'!$C$29,1)+COUNTIF('10oferty s.'!$C$4:'10oferty s.'!C24,'10oferty s.'!C24)-1</f>
        <v>13</v>
      </c>
      <c r="C24" s="5" t="str">
        <f>INDEX('10oferty s.'!B4:G29,MATCH(21,B4:B29,0),1)</f>
        <v>sanocki</v>
      </c>
      <c r="D24" s="6">
        <f>INDEX('10oferty s.'!B4:G29,MATCH(21,B4:B29,0),2)</f>
        <v>57</v>
      </c>
      <c r="E24" s="61">
        <f>INDEX('10oferty s.'!B4:G29,MATCH(21,B4:B29,0),3)</f>
        <v>45</v>
      </c>
      <c r="F24" s="6">
        <f>INDEX('10oferty s.'!B4:G29,MATCH(21,B4:B29,0),4)</f>
        <v>12</v>
      </c>
      <c r="G24" s="61">
        <f>INDEX('10oferty s.'!B4:G29,MATCH(21,B4:B29,0),5)</f>
        <v>50</v>
      </c>
      <c r="H24" s="6">
        <f>INDEX('10oferty s.'!B4:G29,MATCH(21,B4:B29,0),6)</f>
        <v>7</v>
      </c>
    </row>
    <row r="25" spans="2:8" x14ac:dyDescent="0.2">
      <c r="B25" s="6">
        <f>RANK('10oferty s.'!C25,'10oferty s.'!$C$4:'10oferty s.'!$C$29,1)+COUNTIF('10oferty s.'!$C$4:'10oferty s.'!C25,'10oferty s.'!C25)-1</f>
        <v>11</v>
      </c>
      <c r="C25" s="5" t="str">
        <f>INDEX('10oferty s.'!B4:G29,MATCH(22,B4:B29,0),1)</f>
        <v>ropczycko-sędziszowski</v>
      </c>
      <c r="D25" s="6">
        <f>INDEX('10oferty s.'!B4:G29,MATCH(22,B4:B29,0),2)</f>
        <v>64</v>
      </c>
      <c r="E25" s="61">
        <f>INDEX('10oferty s.'!B4:G29,MATCH(22,B4:B29,0),3)</f>
        <v>28</v>
      </c>
      <c r="F25" s="6">
        <f>INDEX('10oferty s.'!B4:G29,MATCH(22,B4:B29,0),4)</f>
        <v>36</v>
      </c>
      <c r="G25" s="61">
        <f>INDEX('10oferty s.'!B4:G29,MATCH(22,B4:B29,0),5)</f>
        <v>104</v>
      </c>
      <c r="H25" s="6">
        <f>INDEX('10oferty s.'!B4:G29,MATCH(22,B4:B29,0),6)</f>
        <v>-40</v>
      </c>
    </row>
    <row r="26" spans="2:8" x14ac:dyDescent="0.2">
      <c r="B26" s="6">
        <f>RANK('10oferty s.'!C26,'10oferty s.'!$C$4:'10oferty s.'!$C$29,1)+COUNTIF('10oferty s.'!$C$4:'10oferty s.'!C26,'10oferty s.'!C26)-1</f>
        <v>12</v>
      </c>
      <c r="C26" s="5" t="str">
        <f>INDEX('10oferty s.'!B4:G29,MATCH(23,B4:B29,0),1)</f>
        <v>jarosławski</v>
      </c>
      <c r="D26" s="6">
        <f>INDEX('10oferty s.'!B4:G29,MATCH(23,B4:B29,0),2)</f>
        <v>67</v>
      </c>
      <c r="E26" s="61">
        <f>INDEX('10oferty s.'!B4:G29,MATCH(23,B4:B29,0),3)</f>
        <v>17</v>
      </c>
      <c r="F26" s="6">
        <f>INDEX('10oferty s.'!B4:G29,MATCH(23,B4:B29,0),4)</f>
        <v>50</v>
      </c>
      <c r="G26" s="61">
        <f>INDEX('10oferty s.'!B4:G29,MATCH(23,B4:B29,0),5)</f>
        <v>78</v>
      </c>
      <c r="H26" s="6">
        <f>INDEX('10oferty s.'!B4:G29,MATCH(23,B4:B29,0),6)</f>
        <v>-11</v>
      </c>
    </row>
    <row r="27" spans="2:8" x14ac:dyDescent="0.2">
      <c r="B27" s="6">
        <f>RANK('10oferty s.'!C27,'10oferty s.'!$C$4:'10oferty s.'!$C$29,1)+COUNTIF('10oferty s.'!$C$4:'10oferty s.'!C27,'10oferty s.'!C27)-1</f>
        <v>20</v>
      </c>
      <c r="C27" s="5" t="str">
        <f>INDEX('10oferty s.'!B4:G29,MATCH(24,B4:B29,0),1)</f>
        <v>strzyżowski</v>
      </c>
      <c r="D27" s="6">
        <f>INDEX('10oferty s.'!B4:G29,MATCH(24,B4:B29,0),2)</f>
        <v>71</v>
      </c>
      <c r="E27" s="61">
        <f>INDEX('10oferty s.'!B4:G29,MATCH(24,B4:B29,0),3)</f>
        <v>127</v>
      </c>
      <c r="F27" s="6">
        <f>INDEX('10oferty s.'!B4:G29,MATCH(24,B4:B29,0),4)</f>
        <v>-56</v>
      </c>
      <c r="G27" s="61">
        <f>INDEX('10oferty s.'!B4:G29,MATCH(24,B4:B29,0),5)</f>
        <v>82</v>
      </c>
      <c r="H27" s="6">
        <f>INDEX('10oferty s.'!B4:G29,MATCH(24,B4:B29,0),6)</f>
        <v>-11</v>
      </c>
    </row>
    <row r="28" spans="2:8" x14ac:dyDescent="0.2">
      <c r="B28" s="6">
        <f>RANK('10oferty s.'!C28,'10oferty s.'!$C$4:'10oferty s.'!$C$29,1)+COUNTIF('10oferty s.'!$C$4:'10oferty s.'!C28,'10oferty s.'!C28)-1</f>
        <v>5</v>
      </c>
      <c r="C28" s="5" t="str">
        <f>INDEX('10oferty s.'!B4:G29,MATCH(25,B4:B29,0),1)</f>
        <v>przeworski</v>
      </c>
      <c r="D28" s="6">
        <f>INDEX('10oferty s.'!B4:G29,MATCH(25,B4:B29,0),2)</f>
        <v>82</v>
      </c>
      <c r="E28" s="61">
        <f>INDEX('10oferty s.'!B4:G29,MATCH(25,B4:B29,0),3)</f>
        <v>71</v>
      </c>
      <c r="F28" s="6">
        <f>INDEX('10oferty s.'!B4:G29,MATCH(25,B4:B29,0),4)</f>
        <v>11</v>
      </c>
      <c r="G28" s="61">
        <f>INDEX('10oferty s.'!B4:G29,MATCH(25,B4:B29,0),5)</f>
        <v>95</v>
      </c>
      <c r="H28" s="6">
        <f>INDEX('10oferty s.'!B4:G29,MATCH(25,B4:B29,0),6)</f>
        <v>-13</v>
      </c>
    </row>
    <row r="29" spans="2:8" ht="15" x14ac:dyDescent="0.25">
      <c r="B29" s="59">
        <f>RANK('10oferty s.'!C29,'10oferty s.'!$C$4:'10oferty s.'!$C$29,1)+COUNTIF('10oferty s.'!$C$4:'10oferty s.'!C29,'10oferty s.'!C29)-1</f>
        <v>26</v>
      </c>
      <c r="C29" s="58" t="str">
        <f>INDEX('10oferty s.'!B4:G29,MATCH(26,B4:B29,0),1)</f>
        <v>województwo</v>
      </c>
      <c r="D29" s="59">
        <f>INDEX('10oferty s.'!B4:G29,MATCH(26,B4:B29,0),2)</f>
        <v>860</v>
      </c>
      <c r="E29" s="63">
        <f>INDEX('10oferty s.'!B4:G29,MATCH(26,B4:B29,0),3)</f>
        <v>1004</v>
      </c>
      <c r="F29" s="59">
        <f>INDEX('10oferty s.'!B4:G29,MATCH(26,B4:B29,0),4)</f>
        <v>-144</v>
      </c>
      <c r="G29" s="63">
        <f>INDEX('10oferty s.'!B4:G29,MATCH(26,B4:B29,0),5)</f>
        <v>1522</v>
      </c>
      <c r="H29" s="59">
        <f>INDEX('10oferty s.'!B4:G29,MATCH(26,B4:B29,0),6)</f>
        <v>-662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80E0D-B0EF-47B0-9BED-4BA60E34CD96}">
  <sheetPr>
    <tabColor rgb="FFFFCC00"/>
    <pageSetUpPr fitToPage="1"/>
  </sheetPr>
  <dimension ref="B1:K32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1.85546875" style="3" customWidth="1"/>
    <col min="4" max="4" width="11.7109375" style="3" customWidth="1"/>
    <col min="5" max="5" width="16.28515625" style="3" customWidth="1"/>
    <col min="6" max="6" width="11.7109375" style="3" customWidth="1"/>
    <col min="7" max="7" width="17.85546875" style="3" customWidth="1"/>
    <col min="8" max="8" width="6.28515625" style="3" customWidth="1"/>
    <col min="9" max="9" width="7" style="3" customWidth="1"/>
    <col min="10" max="10" width="6.140625" style="3" customWidth="1"/>
    <col min="11" max="12" width="9.140625" style="3"/>
    <col min="13" max="13" width="7.140625" style="3" customWidth="1"/>
    <col min="14" max="16384" width="9.140625" style="3"/>
  </cols>
  <sheetData>
    <row r="1" spans="2:11" ht="15" customHeight="1" x14ac:dyDescent="0.2">
      <c r="B1" s="49" t="s">
        <v>157</v>
      </c>
      <c r="C1" s="47"/>
      <c r="D1" s="47"/>
      <c r="E1" s="47"/>
      <c r="F1" s="47"/>
      <c r="G1" s="47"/>
      <c r="H1" s="48"/>
      <c r="I1" s="48"/>
      <c r="J1" s="48"/>
      <c r="K1" s="48"/>
    </row>
    <row r="2" spans="2:11" ht="14.25" customHeight="1" x14ac:dyDescent="0.2">
      <c r="B2" s="1" t="s">
        <v>158</v>
      </c>
      <c r="C2" s="42"/>
      <c r="D2" s="42"/>
      <c r="E2" s="42"/>
      <c r="F2" s="42"/>
      <c r="G2" s="42"/>
      <c r="H2" s="48"/>
      <c r="I2" s="48"/>
      <c r="J2" s="48"/>
      <c r="K2" s="48"/>
    </row>
    <row r="3" spans="2:11" ht="57" x14ac:dyDescent="0.2">
      <c r="B3" s="55" t="s">
        <v>27</v>
      </c>
      <c r="C3" s="56" t="s">
        <v>140</v>
      </c>
      <c r="D3" s="57" t="s">
        <v>106</v>
      </c>
      <c r="E3" s="56" t="s">
        <v>28</v>
      </c>
      <c r="F3" s="57" t="s">
        <v>141</v>
      </c>
      <c r="G3" s="56" t="s">
        <v>26</v>
      </c>
    </row>
    <row r="4" spans="2:11" x14ac:dyDescent="0.2">
      <c r="B4" s="5" t="s">
        <v>0</v>
      </c>
      <c r="C4" s="45">
        <v>36</v>
      </c>
      <c r="D4" s="61">
        <v>19</v>
      </c>
      <c r="E4" s="45">
        <f t="shared" ref="E4:E28" si="0">SUM(C4)-D4</f>
        <v>17</v>
      </c>
      <c r="F4" s="61">
        <v>30</v>
      </c>
      <c r="G4" s="45">
        <f t="shared" ref="G4:G28" si="1">SUM(C4)-F4</f>
        <v>6</v>
      </c>
      <c r="H4" s="7"/>
    </row>
    <row r="5" spans="2:11" x14ac:dyDescent="0.2">
      <c r="B5" s="5" t="s">
        <v>1</v>
      </c>
      <c r="C5" s="45">
        <v>5</v>
      </c>
      <c r="D5" s="61">
        <v>6</v>
      </c>
      <c r="E5" s="45">
        <f t="shared" si="0"/>
        <v>-1</v>
      </c>
      <c r="F5" s="61">
        <v>1</v>
      </c>
      <c r="G5" s="45">
        <f t="shared" si="1"/>
        <v>4</v>
      </c>
      <c r="H5" s="7"/>
    </row>
    <row r="6" spans="2:11" x14ac:dyDescent="0.2">
      <c r="B6" s="5" t="s">
        <v>2</v>
      </c>
      <c r="C6" s="45">
        <v>131</v>
      </c>
      <c r="D6" s="61">
        <v>183</v>
      </c>
      <c r="E6" s="45">
        <f t="shared" si="0"/>
        <v>-52</v>
      </c>
      <c r="F6" s="61">
        <v>149</v>
      </c>
      <c r="G6" s="45">
        <f t="shared" si="1"/>
        <v>-18</v>
      </c>
      <c r="H6" s="7"/>
    </row>
    <row r="7" spans="2:11" x14ac:dyDescent="0.2">
      <c r="B7" s="5" t="s">
        <v>3</v>
      </c>
      <c r="C7" s="45">
        <v>86</v>
      </c>
      <c r="D7" s="61">
        <v>61</v>
      </c>
      <c r="E7" s="45">
        <f t="shared" si="0"/>
        <v>25</v>
      </c>
      <c r="F7" s="61">
        <v>164</v>
      </c>
      <c r="G7" s="45">
        <f t="shared" si="1"/>
        <v>-78</v>
      </c>
      <c r="H7" s="7"/>
    </row>
    <row r="8" spans="2:11" x14ac:dyDescent="0.2">
      <c r="B8" s="5" t="s">
        <v>4</v>
      </c>
      <c r="C8" s="45">
        <v>144</v>
      </c>
      <c r="D8" s="61">
        <v>120</v>
      </c>
      <c r="E8" s="45">
        <f t="shared" si="0"/>
        <v>24</v>
      </c>
      <c r="F8" s="61">
        <v>100</v>
      </c>
      <c r="G8" s="45">
        <f t="shared" si="1"/>
        <v>44</v>
      </c>
      <c r="H8" s="7"/>
    </row>
    <row r="9" spans="2:11" x14ac:dyDescent="0.2">
      <c r="B9" s="5" t="s">
        <v>5</v>
      </c>
      <c r="C9" s="45">
        <v>52</v>
      </c>
      <c r="D9" s="61">
        <v>56</v>
      </c>
      <c r="E9" s="45">
        <f t="shared" si="0"/>
        <v>-4</v>
      </c>
      <c r="F9" s="61">
        <v>45</v>
      </c>
      <c r="G9" s="45">
        <f t="shared" si="1"/>
        <v>7</v>
      </c>
      <c r="H9" s="7"/>
    </row>
    <row r="10" spans="2:11" x14ac:dyDescent="0.2">
      <c r="B10" s="9" t="s">
        <v>6</v>
      </c>
      <c r="C10" s="45">
        <v>61</v>
      </c>
      <c r="D10" s="61">
        <v>67</v>
      </c>
      <c r="E10" s="45">
        <f t="shared" si="0"/>
        <v>-6</v>
      </c>
      <c r="F10" s="61">
        <v>17</v>
      </c>
      <c r="G10" s="45">
        <f t="shared" si="1"/>
        <v>44</v>
      </c>
      <c r="H10" s="7"/>
    </row>
    <row r="11" spans="2:11" x14ac:dyDescent="0.2">
      <c r="B11" s="5" t="s">
        <v>7</v>
      </c>
      <c r="C11" s="45">
        <v>14</v>
      </c>
      <c r="D11" s="61">
        <v>42</v>
      </c>
      <c r="E11" s="45">
        <f t="shared" si="0"/>
        <v>-28</v>
      </c>
      <c r="F11" s="61">
        <v>34</v>
      </c>
      <c r="G11" s="45">
        <f t="shared" si="1"/>
        <v>-20</v>
      </c>
      <c r="H11" s="7"/>
    </row>
    <row r="12" spans="2:11" x14ac:dyDescent="0.2">
      <c r="B12" s="5" t="s">
        <v>8</v>
      </c>
      <c r="C12" s="45">
        <v>66</v>
      </c>
      <c r="D12" s="61">
        <v>72</v>
      </c>
      <c r="E12" s="45">
        <f t="shared" si="0"/>
        <v>-6</v>
      </c>
      <c r="F12" s="61">
        <v>95</v>
      </c>
      <c r="G12" s="45">
        <f t="shared" si="1"/>
        <v>-29</v>
      </c>
      <c r="H12" s="7"/>
    </row>
    <row r="13" spans="2:11" x14ac:dyDescent="0.2">
      <c r="B13" s="5" t="s">
        <v>9</v>
      </c>
      <c r="C13" s="45">
        <v>32</v>
      </c>
      <c r="D13" s="61">
        <v>91</v>
      </c>
      <c r="E13" s="45">
        <f t="shared" si="0"/>
        <v>-59</v>
      </c>
      <c r="F13" s="61">
        <v>39</v>
      </c>
      <c r="G13" s="45">
        <f t="shared" si="1"/>
        <v>-7</v>
      </c>
      <c r="H13" s="7"/>
    </row>
    <row r="14" spans="2:11" x14ac:dyDescent="0.2">
      <c r="B14" s="5" t="s">
        <v>10</v>
      </c>
      <c r="C14" s="45">
        <v>32</v>
      </c>
      <c r="D14" s="61">
        <v>51</v>
      </c>
      <c r="E14" s="45">
        <f t="shared" si="0"/>
        <v>-19</v>
      </c>
      <c r="F14" s="61">
        <v>41</v>
      </c>
      <c r="G14" s="45">
        <f t="shared" si="1"/>
        <v>-9</v>
      </c>
      <c r="H14" s="7"/>
    </row>
    <row r="15" spans="2:11" x14ac:dyDescent="0.2">
      <c r="B15" s="5" t="s">
        <v>11</v>
      </c>
      <c r="C15" s="45">
        <v>358</v>
      </c>
      <c r="D15" s="61">
        <v>248</v>
      </c>
      <c r="E15" s="45">
        <f t="shared" si="0"/>
        <v>110</v>
      </c>
      <c r="F15" s="61">
        <v>322</v>
      </c>
      <c r="G15" s="45">
        <f t="shared" si="1"/>
        <v>36</v>
      </c>
      <c r="H15" s="7"/>
    </row>
    <row r="16" spans="2:11" x14ac:dyDescent="0.2">
      <c r="B16" s="5" t="s">
        <v>12</v>
      </c>
      <c r="C16" s="45">
        <v>78</v>
      </c>
      <c r="D16" s="61">
        <v>76</v>
      </c>
      <c r="E16" s="45">
        <f t="shared" si="0"/>
        <v>2</v>
      </c>
      <c r="F16" s="61">
        <v>78</v>
      </c>
      <c r="G16" s="45">
        <f t="shared" si="1"/>
        <v>0</v>
      </c>
      <c r="H16" s="7"/>
    </row>
    <row r="17" spans="2:8" x14ac:dyDescent="0.2">
      <c r="B17" s="5" t="s">
        <v>13</v>
      </c>
      <c r="C17" s="45">
        <v>6</v>
      </c>
      <c r="D17" s="61">
        <v>7</v>
      </c>
      <c r="E17" s="45">
        <f t="shared" si="0"/>
        <v>-1</v>
      </c>
      <c r="F17" s="61">
        <v>12</v>
      </c>
      <c r="G17" s="45">
        <f t="shared" si="1"/>
        <v>-6</v>
      </c>
      <c r="H17" s="7"/>
    </row>
    <row r="18" spans="2:8" x14ac:dyDescent="0.2">
      <c r="B18" s="5" t="s">
        <v>14</v>
      </c>
      <c r="C18" s="45">
        <v>171</v>
      </c>
      <c r="D18" s="61">
        <v>141</v>
      </c>
      <c r="E18" s="45">
        <f t="shared" si="0"/>
        <v>30</v>
      </c>
      <c r="F18" s="61">
        <v>137</v>
      </c>
      <c r="G18" s="45">
        <f t="shared" si="1"/>
        <v>34</v>
      </c>
      <c r="H18" s="7"/>
    </row>
    <row r="19" spans="2:8" x14ac:dyDescent="0.2">
      <c r="B19" s="5" t="s">
        <v>15</v>
      </c>
      <c r="C19" s="45">
        <v>117</v>
      </c>
      <c r="D19" s="61">
        <v>107</v>
      </c>
      <c r="E19" s="45">
        <f t="shared" si="0"/>
        <v>10</v>
      </c>
      <c r="F19" s="61">
        <v>131</v>
      </c>
      <c r="G19" s="45">
        <f t="shared" si="1"/>
        <v>-14</v>
      </c>
      <c r="H19" s="7"/>
    </row>
    <row r="20" spans="2:8" x14ac:dyDescent="0.2">
      <c r="B20" s="5" t="s">
        <v>16</v>
      </c>
      <c r="C20" s="45">
        <v>110</v>
      </c>
      <c r="D20" s="61">
        <v>111</v>
      </c>
      <c r="E20" s="45">
        <f t="shared" si="0"/>
        <v>-1</v>
      </c>
      <c r="F20" s="61">
        <v>83</v>
      </c>
      <c r="G20" s="45">
        <f t="shared" si="1"/>
        <v>27</v>
      </c>
      <c r="H20" s="7"/>
    </row>
    <row r="21" spans="2:8" x14ac:dyDescent="0.2">
      <c r="B21" s="5" t="s">
        <v>17</v>
      </c>
      <c r="C21" s="45">
        <v>21</v>
      </c>
      <c r="D21" s="61">
        <v>57</v>
      </c>
      <c r="E21" s="45">
        <f t="shared" si="0"/>
        <v>-36</v>
      </c>
      <c r="F21" s="61">
        <v>52</v>
      </c>
      <c r="G21" s="45">
        <f t="shared" si="1"/>
        <v>-31</v>
      </c>
      <c r="H21" s="7"/>
    </row>
    <row r="22" spans="2:8" x14ac:dyDescent="0.2">
      <c r="B22" s="5" t="s">
        <v>18</v>
      </c>
      <c r="C22" s="45">
        <v>77</v>
      </c>
      <c r="D22" s="61">
        <v>98</v>
      </c>
      <c r="E22" s="45">
        <f t="shared" si="0"/>
        <v>-21</v>
      </c>
      <c r="F22" s="61">
        <v>81</v>
      </c>
      <c r="G22" s="45">
        <f t="shared" si="1"/>
        <v>-4</v>
      </c>
      <c r="H22" s="7"/>
    </row>
    <row r="23" spans="2:8" x14ac:dyDescent="0.2">
      <c r="B23" s="5" t="s">
        <v>19</v>
      </c>
      <c r="C23" s="45">
        <v>43</v>
      </c>
      <c r="D23" s="61">
        <v>116</v>
      </c>
      <c r="E23" s="45">
        <f t="shared" si="0"/>
        <v>-73</v>
      </c>
      <c r="F23" s="61">
        <v>94</v>
      </c>
      <c r="G23" s="45">
        <f t="shared" si="1"/>
        <v>-51</v>
      </c>
      <c r="H23" s="7"/>
    </row>
    <row r="24" spans="2:8" x14ac:dyDescent="0.2">
      <c r="B24" s="5" t="s">
        <v>20</v>
      </c>
      <c r="C24" s="45">
        <v>81</v>
      </c>
      <c r="D24" s="61">
        <v>45</v>
      </c>
      <c r="E24" s="45">
        <f t="shared" si="0"/>
        <v>36</v>
      </c>
      <c r="F24" s="61">
        <v>55</v>
      </c>
      <c r="G24" s="45">
        <f t="shared" si="1"/>
        <v>26</v>
      </c>
      <c r="H24" s="7"/>
    </row>
    <row r="25" spans="2:8" x14ac:dyDescent="0.2">
      <c r="B25" s="5" t="s">
        <v>21</v>
      </c>
      <c r="C25" s="45">
        <v>24</v>
      </c>
      <c r="D25" s="61">
        <v>37</v>
      </c>
      <c r="E25" s="45">
        <f t="shared" si="0"/>
        <v>-13</v>
      </c>
      <c r="F25" s="61">
        <v>22</v>
      </c>
      <c r="G25" s="45">
        <f t="shared" si="1"/>
        <v>2</v>
      </c>
      <c r="H25" s="7"/>
    </row>
    <row r="26" spans="2:8" x14ac:dyDescent="0.2">
      <c r="B26" s="5" t="s">
        <v>22</v>
      </c>
      <c r="C26" s="45">
        <v>47</v>
      </c>
      <c r="D26" s="61">
        <v>26</v>
      </c>
      <c r="E26" s="45">
        <f t="shared" si="0"/>
        <v>21</v>
      </c>
      <c r="F26" s="61">
        <v>39</v>
      </c>
      <c r="G26" s="45">
        <f t="shared" si="1"/>
        <v>8</v>
      </c>
      <c r="H26" s="7"/>
    </row>
    <row r="27" spans="2:8" x14ac:dyDescent="0.2">
      <c r="B27" s="5" t="s">
        <v>23</v>
      </c>
      <c r="C27" s="45">
        <v>415</v>
      </c>
      <c r="D27" s="61">
        <v>394</v>
      </c>
      <c r="E27" s="45">
        <f t="shared" si="0"/>
        <v>21</v>
      </c>
      <c r="F27" s="61">
        <v>500</v>
      </c>
      <c r="G27" s="45">
        <f t="shared" si="1"/>
        <v>-85</v>
      </c>
      <c r="H27" s="7"/>
    </row>
    <row r="28" spans="2:8" x14ac:dyDescent="0.2">
      <c r="B28" s="5" t="s">
        <v>24</v>
      </c>
      <c r="C28" s="45">
        <v>77</v>
      </c>
      <c r="D28" s="61">
        <v>58</v>
      </c>
      <c r="E28" s="45">
        <f t="shared" si="0"/>
        <v>19</v>
      </c>
      <c r="F28" s="61">
        <v>75</v>
      </c>
      <c r="G28" s="45">
        <f t="shared" si="1"/>
        <v>2</v>
      </c>
      <c r="H28" s="7"/>
    </row>
    <row r="29" spans="2:8" ht="15" x14ac:dyDescent="0.25">
      <c r="B29" s="58" t="s">
        <v>25</v>
      </c>
      <c r="C29" s="77">
        <f>SUM(C4:C28)</f>
        <v>2284</v>
      </c>
      <c r="D29" s="63">
        <f>SUM(D4:D28)</f>
        <v>2289</v>
      </c>
      <c r="E29" s="77">
        <f>SUM(E4:E28)</f>
        <v>-5</v>
      </c>
      <c r="F29" s="63">
        <f>SUM(F4:F28)</f>
        <v>2396</v>
      </c>
      <c r="G29" s="77">
        <f>SUM(G4:G28)</f>
        <v>-112</v>
      </c>
      <c r="H29" s="7"/>
    </row>
    <row r="30" spans="2:8" ht="12" customHeight="1" x14ac:dyDescent="0.2">
      <c r="B30" s="4"/>
      <c r="C30" s="19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704CE-3E48-45FF-A1F2-DBA69F4DCD6E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1.7109375" style="3" customWidth="1"/>
    <col min="5" max="5" width="11.85546875" style="3" customWidth="1"/>
    <col min="6" max="6" width="18.140625" style="3" customWidth="1"/>
    <col min="7" max="7" width="11.28515625" style="3" customWidth="1"/>
    <col min="8" max="8" width="18.8554687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156</v>
      </c>
      <c r="C1" s="50"/>
      <c r="D1" s="50"/>
      <c r="E1" s="50"/>
      <c r="F1" s="50"/>
      <c r="G1" s="50"/>
      <c r="H1" s="50"/>
    </row>
    <row r="2" spans="2:8" ht="15" x14ac:dyDescent="0.2">
      <c r="C2" s="20"/>
      <c r="D2" s="21"/>
    </row>
    <row r="3" spans="2:8" ht="42.75" x14ac:dyDescent="0.2">
      <c r="B3" s="62" t="s">
        <v>86</v>
      </c>
      <c r="C3" s="55" t="str">
        <f>T('10oferty s.'!B3)</f>
        <v>powiaty</v>
      </c>
      <c r="D3" s="55" t="str">
        <f>T('10oferty s.'!C3)</f>
        <v>liczba ofert w X '23 r.</v>
      </c>
      <c r="E3" s="55" t="str">
        <f>T('10oferty s.'!D3)</f>
        <v>liczba ofert w IX '23 r.</v>
      </c>
      <c r="F3" s="55" t="str">
        <f>T('10oferty s.'!E3)</f>
        <v>wzrost/spadek do poprzedniego  miesiąca</v>
      </c>
      <c r="G3" s="55" t="str">
        <f>T('10oferty s.'!F3)</f>
        <v>liczba ofert w X '22 r.</v>
      </c>
      <c r="H3" s="55" t="str">
        <f>T('10oferty s.'!G3)</f>
        <v>wzrost/spadek do analogicznego okresu ubr.</v>
      </c>
    </row>
    <row r="4" spans="2:8" x14ac:dyDescent="0.2">
      <c r="B4" s="6">
        <f>RANK('11of st. k.'!C4,'11of st. k.'!$C$4:'11of st. k.'!$C$29,1)+COUNTIF('11of st. k.'!$C$4:'11of st. k.'!C4,'11of st. k.'!C4)-1</f>
        <v>8</v>
      </c>
      <c r="C4" s="5" t="str">
        <f>INDEX('11of st. k.'!B4:G29,MATCH(1,B4:B29,0),1)</f>
        <v>brzozowski</v>
      </c>
      <c r="D4" s="25">
        <f>INDEX('11of st. k.'!B4:G29,MATCH(1,B4:B29,0),2)</f>
        <v>5</v>
      </c>
      <c r="E4" s="61">
        <f>INDEX('11of st. k.'!B4:G29,MATCH(1,B4:B29,0),3)</f>
        <v>6</v>
      </c>
      <c r="F4" s="6">
        <f>INDEX('11of st. k.'!B4:G29,MATCH(1,B4:B29,0),4)</f>
        <v>-1</v>
      </c>
      <c r="G4" s="61">
        <f>INDEX('11of st. k.'!B4:G29,MATCH(1,B4:B29,0),5)</f>
        <v>1</v>
      </c>
      <c r="H4" s="6">
        <f>INDEX('11of st. k.'!B4:G29,MATCH(1,B4:B29,0),6)</f>
        <v>4</v>
      </c>
    </row>
    <row r="5" spans="2:8" x14ac:dyDescent="0.2">
      <c r="B5" s="6">
        <f>RANK('11of st. k.'!C5,'11of st. k.'!$C$4:'11of st. k.'!$C$29,1)+COUNTIF('11of st. k.'!$C$4:'11of st. k.'!C5,'11of st. k.'!C5)-1</f>
        <v>1</v>
      </c>
      <c r="C5" s="5" t="str">
        <f>INDEX('11of st. k.'!B4:G29,MATCH(2,B4:B29,0),1)</f>
        <v>przemyski</v>
      </c>
      <c r="D5" s="6">
        <f>INDEX('11of st. k.'!B4:G29,MATCH(2,B4:B29,0),2)</f>
        <v>6</v>
      </c>
      <c r="E5" s="61">
        <f>INDEX('11of st. k.'!B4:G29,MATCH(2,B4:B29,0),3)</f>
        <v>7</v>
      </c>
      <c r="F5" s="6">
        <f>INDEX('11of st. k.'!B4:G29,MATCH(2,B4:B29,0),4)</f>
        <v>-1</v>
      </c>
      <c r="G5" s="61">
        <f>INDEX('11of st. k.'!B4:G29,MATCH(2,B4:B29,0),5)</f>
        <v>12</v>
      </c>
      <c r="H5" s="6">
        <f>INDEX('11of st. k.'!B4:G29,MATCH(2,B4:B29,0),6)</f>
        <v>-6</v>
      </c>
    </row>
    <row r="6" spans="2:8" x14ac:dyDescent="0.2">
      <c r="B6" s="6">
        <f>RANK('11of st. k.'!C6,'11of st. k.'!$C$4:'11of st. k.'!$C$29,1)+COUNTIF('11of st. k.'!$C$4:'11of st. k.'!C6,'11of st. k.'!C6)-1</f>
        <v>21</v>
      </c>
      <c r="C6" s="5" t="str">
        <f>INDEX('11of st. k.'!B4:G29,MATCH(3,B4:B29,0),1)</f>
        <v>leski</v>
      </c>
      <c r="D6" s="6">
        <f>INDEX('11of st. k.'!B4:G29,MATCH(3,B4:B29,0),2)</f>
        <v>14</v>
      </c>
      <c r="E6" s="61">
        <f>INDEX('11of st. k.'!B4:G29,MATCH(3,B4:B29,0),3)</f>
        <v>42</v>
      </c>
      <c r="F6" s="6">
        <f>INDEX('11of st. k.'!B4:G29,MATCH(3,B4:B29,0),4)</f>
        <v>-28</v>
      </c>
      <c r="G6" s="61">
        <f>INDEX('11of st. k.'!B4:G29,MATCH(3,B4:B29,0),5)</f>
        <v>34</v>
      </c>
      <c r="H6" s="6">
        <f>INDEX('11of st. k.'!B4:G29,MATCH(3,B4:B29,0),6)</f>
        <v>-20</v>
      </c>
    </row>
    <row r="7" spans="2:8" x14ac:dyDescent="0.2">
      <c r="B7" s="6">
        <f>RANK('11of st. k.'!C7,'11of st. k.'!$C$4:'11of st. k.'!$C$29,1)+COUNTIF('11of st. k.'!$C$4:'11of st. k.'!C7,'11of st. k.'!C7)-1</f>
        <v>18</v>
      </c>
      <c r="C7" s="5" t="str">
        <f>INDEX('11of st. k.'!B4:G29,MATCH(4,B4:B29,0),1)</f>
        <v>sanocki</v>
      </c>
      <c r="D7" s="6">
        <f>INDEX('11of st. k.'!B4:G29,MATCH(4,B4:B29,0),2)</f>
        <v>21</v>
      </c>
      <c r="E7" s="61">
        <f>INDEX('11of st. k.'!B4:G29,MATCH(4,B4:B29,0),3)</f>
        <v>57</v>
      </c>
      <c r="F7" s="6">
        <f>INDEX('11of st. k.'!B4:G29,MATCH(4,B4:B29,0),4)</f>
        <v>-36</v>
      </c>
      <c r="G7" s="61">
        <f>INDEX('11of st. k.'!B4:G29,MATCH(4,B4:B29,0),5)</f>
        <v>52</v>
      </c>
      <c r="H7" s="6">
        <f>INDEX('11of st. k.'!B4:G29,MATCH(4,B4:B29,0),6)</f>
        <v>-31</v>
      </c>
    </row>
    <row r="8" spans="2:8" x14ac:dyDescent="0.2">
      <c r="B8" s="6">
        <f>RANK('11of st. k.'!C8,'11of st. k.'!$C$4:'11of st. k.'!$C$29,1)+COUNTIF('11of st. k.'!$C$4:'11of st. k.'!C8,'11of st. k.'!C8)-1</f>
        <v>22</v>
      </c>
      <c r="C8" s="5" t="str">
        <f>INDEX('11of st. k.'!B4:G29,MATCH(5,B4:B29,0),1)</f>
        <v>Krosno</v>
      </c>
      <c r="D8" s="6">
        <f>INDEX('11of st. k.'!B4:G29,MATCH(5,B4:B29,0),2)</f>
        <v>24</v>
      </c>
      <c r="E8" s="61">
        <f>INDEX('11of st. k.'!B4:G29,MATCH(5,B4:B29,0),3)</f>
        <v>37</v>
      </c>
      <c r="F8" s="6">
        <f>INDEX('11of st. k.'!B4:G29,MATCH(5,B4:B29,0),4)</f>
        <v>-13</v>
      </c>
      <c r="G8" s="61">
        <f>INDEX('11of st. k.'!B4:G29,MATCH(5,B4:B29,0),5)</f>
        <v>22</v>
      </c>
      <c r="H8" s="6">
        <f>INDEX('11of st. k.'!B4:G29,MATCH(5,B4:B29,0),6)</f>
        <v>2</v>
      </c>
    </row>
    <row r="9" spans="2:8" x14ac:dyDescent="0.2">
      <c r="B9" s="6">
        <f>RANK('11of st. k.'!C9,'11of st. k.'!$C$4:'11of st. k.'!$C$29,1)+COUNTIF('11of st. k.'!$C$4:'11of st. k.'!C9,'11of st. k.'!C9)-1</f>
        <v>11</v>
      </c>
      <c r="C9" s="5" t="str">
        <f>INDEX('11of st. k.'!B4:G29,MATCH(6,B4:B29,0),1)</f>
        <v>lubaczowski</v>
      </c>
      <c r="D9" s="6">
        <f>INDEX('11of st. k.'!B4:G29,MATCH(6,B4:B29,0),2)</f>
        <v>32</v>
      </c>
      <c r="E9" s="61">
        <f>INDEX('11of st. k.'!B4:G29,MATCH(6,B4:B29,0),3)</f>
        <v>91</v>
      </c>
      <c r="F9" s="6">
        <f>INDEX('11of st. k.'!B4:G29,MATCH(6,B4:B29,0),4)</f>
        <v>-59</v>
      </c>
      <c r="G9" s="61">
        <f>INDEX('11of st. k.'!B4:G29,MATCH(6,B4:B29,0),5)</f>
        <v>39</v>
      </c>
      <c r="H9" s="6">
        <f>INDEX('11of st. k.'!B4:G29,MATCH(6,B4:B29,0),6)</f>
        <v>-7</v>
      </c>
    </row>
    <row r="10" spans="2:8" x14ac:dyDescent="0.2">
      <c r="B10" s="6">
        <f>RANK('11of st. k.'!C10,'11of st. k.'!$C$4:'11of st. k.'!$C$29,1)+COUNTIF('11of st. k.'!$C$4:'11of st. k.'!C10,'11of st. k.'!C10)-1</f>
        <v>12</v>
      </c>
      <c r="C10" s="9" t="str">
        <f>INDEX('11of st. k.'!B4:G29,MATCH(7,B4:B29,0),1)</f>
        <v>łańcucki</v>
      </c>
      <c r="D10" s="6">
        <f>INDEX('11of st. k.'!B4:G29,MATCH(7,B4:B29,0),2)</f>
        <v>32</v>
      </c>
      <c r="E10" s="61">
        <f>INDEX('11of st. k.'!B4:G29,MATCH(7,B4:B29,0),3)</f>
        <v>51</v>
      </c>
      <c r="F10" s="6">
        <f>INDEX('11of st. k.'!B4:G29,MATCH(7,B4:B29,0),4)</f>
        <v>-19</v>
      </c>
      <c r="G10" s="61">
        <f>INDEX('11of st. k.'!B4:G29,MATCH(7,B4:B29,0),5)</f>
        <v>41</v>
      </c>
      <c r="H10" s="6">
        <f>INDEX('11of st. k.'!B4:G29,MATCH(7,B4:B29,0),6)</f>
        <v>-9</v>
      </c>
    </row>
    <row r="11" spans="2:8" x14ac:dyDescent="0.2">
      <c r="B11" s="6">
        <f>RANK('11of st. k.'!C11,'11of st. k.'!$C$4:'11of st. k.'!$C$29,1)+COUNTIF('11of st. k.'!$C$4:'11of st. k.'!C11,'11of st. k.'!C11)-1</f>
        <v>3</v>
      </c>
      <c r="C11" s="5" t="str">
        <f>INDEX('11of st. k.'!B4:G29,MATCH(8,B4:B29,0),1)</f>
        <v>bieszczadzki</v>
      </c>
      <c r="D11" s="6">
        <f>INDEX('11of st. k.'!B4:G29,MATCH(8,B4:B29,0),2)</f>
        <v>36</v>
      </c>
      <c r="E11" s="61">
        <f>INDEX('11of st. k.'!B4:G29,MATCH(8,B4:B29,0),3)</f>
        <v>19</v>
      </c>
      <c r="F11" s="6">
        <f>INDEX('11of st. k.'!B4:G29,MATCH(8,B4:B29,0),4)</f>
        <v>17</v>
      </c>
      <c r="G11" s="61">
        <f>INDEX('11of st. k.'!B4:G29,MATCH(8,B4:B29,0),5)</f>
        <v>30</v>
      </c>
      <c r="H11" s="6">
        <f>INDEX('11of st. k.'!B4:G29,MATCH(8,B4:B29,0),6)</f>
        <v>6</v>
      </c>
    </row>
    <row r="12" spans="2:8" x14ac:dyDescent="0.2">
      <c r="B12" s="6">
        <f>RANK('11of st. k.'!C12,'11of st. k.'!$C$4:'11of st. k.'!$C$29,1)+COUNTIF('11of st. k.'!$C$4:'11of st. k.'!C12,'11of st. k.'!C12)-1</f>
        <v>13</v>
      </c>
      <c r="C12" s="5" t="str">
        <f>INDEX('11of st. k.'!B4:G29,MATCH(9,B4:B29,0),1)</f>
        <v>strzyżowski</v>
      </c>
      <c r="D12" s="6">
        <f>INDEX('11of st. k.'!B4:G29,MATCH(9,B4:B29,0),2)</f>
        <v>43</v>
      </c>
      <c r="E12" s="61">
        <f>INDEX('11of st. k.'!B4:G29,MATCH(9,B4:B29,0),3)</f>
        <v>116</v>
      </c>
      <c r="F12" s="6">
        <f>INDEX('11of st. k.'!B4:G29,MATCH(9,B4:B29,0),4)</f>
        <v>-73</v>
      </c>
      <c r="G12" s="61">
        <f>INDEX('11of st. k.'!B4:G29,MATCH(9,B4:B29,0),5)</f>
        <v>94</v>
      </c>
      <c r="H12" s="6">
        <f>INDEX('11of st. k.'!B4:G29,MATCH(9,B4:B29,0),6)</f>
        <v>-51</v>
      </c>
    </row>
    <row r="13" spans="2:8" x14ac:dyDescent="0.2">
      <c r="B13" s="6">
        <f>RANK('11of st. k.'!C13,'11of st. k.'!$C$4:'11of st. k.'!$C$29,1)+COUNTIF('11of st. k.'!$C$4:'11of st. k.'!C13,'11of st. k.'!C13)-1</f>
        <v>6</v>
      </c>
      <c r="C13" s="5" t="str">
        <f>INDEX('11of st. k.'!B4:G29,MATCH(10,B4:B29,0),1)</f>
        <v>Przemyśl</v>
      </c>
      <c r="D13" s="6">
        <f>INDEX('11of st. k.'!B4:G29,MATCH(10,B4:B29,0),2)</f>
        <v>47</v>
      </c>
      <c r="E13" s="61">
        <f>INDEX('11of st. k.'!B4:G29,MATCH(10,B4:B29,0),3)</f>
        <v>26</v>
      </c>
      <c r="F13" s="6">
        <f>INDEX('11of st. k.'!B4:G29,MATCH(10,B4:B29,0),4)</f>
        <v>21</v>
      </c>
      <c r="G13" s="61">
        <f>INDEX('11of st. k.'!B4:G29,MATCH(10,B4:B29,0),5)</f>
        <v>39</v>
      </c>
      <c r="H13" s="6">
        <f>INDEX('11of st. k.'!B4:G29,MATCH(10,B4:B29,0),6)</f>
        <v>8</v>
      </c>
    </row>
    <row r="14" spans="2:8" x14ac:dyDescent="0.2">
      <c r="B14" s="6">
        <f>RANK('11of st. k.'!C14,'11of st. k.'!$C$4:'11of st. k.'!$C$29,1)+COUNTIF('11of st. k.'!$C$4:'11of st. k.'!C14,'11of st. k.'!C14)-1</f>
        <v>7</v>
      </c>
      <c r="C14" s="5" t="str">
        <f>INDEX('11of st. k.'!B4:G29,MATCH(11,B4:B29,0),1)</f>
        <v>kolbuszowski</v>
      </c>
      <c r="D14" s="6">
        <f>INDEX('11of st. k.'!B4:G29,MATCH(11,B4:B29,0),2)</f>
        <v>52</v>
      </c>
      <c r="E14" s="61">
        <f>INDEX('11of st. k.'!B4:G29,MATCH(11,B4:B29,0),3)</f>
        <v>56</v>
      </c>
      <c r="F14" s="6">
        <f>INDEX('11of st. k.'!B4:G29,MATCH(11,B4:B29,0),4)</f>
        <v>-4</v>
      </c>
      <c r="G14" s="61">
        <f>INDEX('11of st. k.'!B4:G29,MATCH(11,B4:B29,0),5)</f>
        <v>45</v>
      </c>
      <c r="H14" s="6">
        <f>INDEX('11of st. k.'!B4:G29,MATCH(11,B4:B29,0),6)</f>
        <v>7</v>
      </c>
    </row>
    <row r="15" spans="2:8" x14ac:dyDescent="0.2">
      <c r="B15" s="6">
        <f>RANK('11of st. k.'!C15,'11of st. k.'!$C$4:'11of st. k.'!$C$29,1)+COUNTIF('11of st. k.'!$C$4:'11of st. k.'!C15,'11of st. k.'!C15)-1</f>
        <v>24</v>
      </c>
      <c r="C15" s="5" t="str">
        <f>INDEX('11of st. k.'!B4:G29,MATCH(12,B4:B29,0),1)</f>
        <v>krośnieński</v>
      </c>
      <c r="D15" s="6">
        <f>INDEX('11of st. k.'!B4:G29,MATCH(12,B4:B29,0),2)</f>
        <v>61</v>
      </c>
      <c r="E15" s="61">
        <f>INDEX('11of st. k.'!B4:G29,MATCH(12,B4:B29,0),3)</f>
        <v>67</v>
      </c>
      <c r="F15" s="6">
        <f>INDEX('11of st. k.'!B4:G29,MATCH(12,B4:B29,0),4)</f>
        <v>-6</v>
      </c>
      <c r="G15" s="61">
        <f>INDEX('11of st. k.'!B4:G29,MATCH(12,B4:B29,0),5)</f>
        <v>17</v>
      </c>
      <c r="H15" s="6">
        <f>INDEX('11of st. k.'!B4:G29,MATCH(12,B4:B29,0),6)</f>
        <v>44</v>
      </c>
    </row>
    <row r="16" spans="2:8" x14ac:dyDescent="0.2">
      <c r="B16" s="6">
        <f>RANK('11of st. k.'!C16,'11of st. k.'!$C$4:'11of st. k.'!$C$29,1)+COUNTIF('11of st. k.'!$C$4:'11of st. k.'!C16,'11of st. k.'!C16)-1</f>
        <v>16</v>
      </c>
      <c r="C16" s="5" t="str">
        <f>INDEX('11of st. k.'!B4:G29,MATCH(13,B4:B29,0),1)</f>
        <v>leżajski</v>
      </c>
      <c r="D16" s="6">
        <f>INDEX('11of st. k.'!B4:G29,MATCH(13,B4:B29,0),2)</f>
        <v>66</v>
      </c>
      <c r="E16" s="61">
        <f>INDEX('11of st. k.'!B4:G29,MATCH(13,B4:B29,0),3)</f>
        <v>72</v>
      </c>
      <c r="F16" s="6">
        <f>INDEX('11of st. k.'!B4:G29,MATCH(13,B4:B29,0),4)</f>
        <v>-6</v>
      </c>
      <c r="G16" s="61">
        <f>INDEX('11of st. k.'!B4:G29,MATCH(13,B4:B29,0),5)</f>
        <v>95</v>
      </c>
      <c r="H16" s="6">
        <f>INDEX('11of st. k.'!B4:G29,MATCH(13,B4:B29,0),6)</f>
        <v>-29</v>
      </c>
    </row>
    <row r="17" spans="2:8" x14ac:dyDescent="0.2">
      <c r="B17" s="6">
        <f>RANK('11of st. k.'!C17,'11of st. k.'!$C$4:'11of st. k.'!$C$29,1)+COUNTIF('11of st. k.'!$C$4:'11of st. k.'!C17,'11of st. k.'!C17)-1</f>
        <v>2</v>
      </c>
      <c r="C17" s="5" t="str">
        <f>INDEX('11of st. k.'!B4:G29,MATCH(14,B4:B29,0),1)</f>
        <v>stalowowolski</v>
      </c>
      <c r="D17" s="6">
        <f>INDEX('11of st. k.'!B4:G29,MATCH(14,B4:B29,0),2)</f>
        <v>77</v>
      </c>
      <c r="E17" s="61">
        <f>INDEX('11of st. k.'!B4:G29,MATCH(14,B4:B29,0),3)</f>
        <v>98</v>
      </c>
      <c r="F17" s="6">
        <f>INDEX('11of st. k.'!B4:G29,MATCH(14,B4:B29,0),4)</f>
        <v>-21</v>
      </c>
      <c r="G17" s="61">
        <f>INDEX('11of st. k.'!B4:G29,MATCH(14,B4:B29,0),5)</f>
        <v>81</v>
      </c>
      <c r="H17" s="6">
        <f>INDEX('11of st. k.'!B4:G29,MATCH(14,B4:B29,0),6)</f>
        <v>-4</v>
      </c>
    </row>
    <row r="18" spans="2:8" x14ac:dyDescent="0.2">
      <c r="B18" s="6">
        <f>RANK('11of st. k.'!C18,'11of st. k.'!$C$4:'11of st. k.'!$C$29,1)+COUNTIF('11of st. k.'!$C$4:'11of st. k.'!C18,'11of st. k.'!C18)-1</f>
        <v>23</v>
      </c>
      <c r="C18" s="5" t="str">
        <f>INDEX('11of st. k.'!B4:G29,MATCH(15,B4:B29,0),1)</f>
        <v>Tarnobrzeg</v>
      </c>
      <c r="D18" s="6">
        <f>INDEX('11of st. k.'!B4:G29,MATCH(15,B4:B29,0),2)</f>
        <v>77</v>
      </c>
      <c r="E18" s="61">
        <f>INDEX('11of st. k.'!B4:G29,MATCH(15,B4:B29,0),3)</f>
        <v>58</v>
      </c>
      <c r="F18" s="6">
        <f>INDEX('11of st. k.'!B4:G29,MATCH(15,B4:B29,0),4)</f>
        <v>19</v>
      </c>
      <c r="G18" s="61">
        <f>INDEX('11of st. k.'!B4:G29,MATCH(15,B4:B29,0),5)</f>
        <v>75</v>
      </c>
      <c r="H18" s="6">
        <f>INDEX('11of st. k.'!B4:G29,MATCH(15,B4:B29,0),6)</f>
        <v>2</v>
      </c>
    </row>
    <row r="19" spans="2:8" x14ac:dyDescent="0.2">
      <c r="B19" s="6">
        <f>RANK('11of st. k.'!C19,'11of st. k.'!$C$4:'11of st. k.'!$C$29,1)+COUNTIF('11of st. k.'!$C$4:'11of st. k.'!C19,'11of st. k.'!C19)-1</f>
        <v>20</v>
      </c>
      <c r="C19" s="5" t="str">
        <f>INDEX('11of st. k.'!B4:G29,MATCH(16,B4:B29,0),1)</f>
        <v>niżański</v>
      </c>
      <c r="D19" s="6">
        <f>INDEX('11of st. k.'!B4:G29,MATCH(16,B4:B29,0),2)</f>
        <v>78</v>
      </c>
      <c r="E19" s="61">
        <f>INDEX('11of st. k.'!B4:G29,MATCH(16,B4:B29,0),3)</f>
        <v>76</v>
      </c>
      <c r="F19" s="6">
        <f>INDEX('11of st. k.'!B4:G29,MATCH(16,B4:B29,0),4)</f>
        <v>2</v>
      </c>
      <c r="G19" s="61">
        <f>INDEX('11of st. k.'!B4:G29,MATCH(16,B4:B29,0),5)</f>
        <v>78</v>
      </c>
      <c r="H19" s="6">
        <f>INDEX('11of st. k.'!B4:G29,MATCH(16,B4:B29,0),6)</f>
        <v>0</v>
      </c>
    </row>
    <row r="20" spans="2:8" x14ac:dyDescent="0.2">
      <c r="B20" s="6">
        <f>RANK('11of st. k.'!C20,'11of st. k.'!$C$4:'11of st. k.'!$C$29,1)+COUNTIF('11of st. k.'!$C$4:'11of st. k.'!C20,'11of st. k.'!C20)-1</f>
        <v>19</v>
      </c>
      <c r="C20" s="5" t="str">
        <f>INDEX('11of st. k.'!B4:G29,MATCH(17,B4:B29,0),1)</f>
        <v xml:space="preserve">tarnobrzeski </v>
      </c>
      <c r="D20" s="6">
        <f>INDEX('11of st. k.'!B4:G29,MATCH(17,B4:B29,0),2)</f>
        <v>81</v>
      </c>
      <c r="E20" s="61">
        <f>INDEX('11of st. k.'!B4:G29,MATCH(17,B4:B29,0),3)</f>
        <v>45</v>
      </c>
      <c r="F20" s="6">
        <f>INDEX('11of st. k.'!B4:G29,MATCH(17,B4:B29,0),4)</f>
        <v>36</v>
      </c>
      <c r="G20" s="61">
        <f>INDEX('11of st. k.'!B4:G29,MATCH(17,B4:B29,0),5)</f>
        <v>55</v>
      </c>
      <c r="H20" s="6">
        <f>INDEX('11of st. k.'!B4:G29,MATCH(17,B4:B29,0),6)</f>
        <v>26</v>
      </c>
    </row>
    <row r="21" spans="2:8" x14ac:dyDescent="0.2">
      <c r="B21" s="6">
        <f>RANK('11of st. k.'!C21,'11of st. k.'!$C$4:'11of st. k.'!$C$29,1)+COUNTIF('11of st. k.'!$C$4:'11of st. k.'!C21,'11of st. k.'!C21)-1</f>
        <v>4</v>
      </c>
      <c r="C21" s="5" t="str">
        <f>INDEX('11of st. k.'!B4:G29,MATCH(18,B4:B29,0),1)</f>
        <v>jarosławski</v>
      </c>
      <c r="D21" s="6">
        <f>INDEX('11of st. k.'!B4:G29,MATCH(18,B4:B29,0),2)</f>
        <v>86</v>
      </c>
      <c r="E21" s="61">
        <f>INDEX('11of st. k.'!B4:G29,MATCH(18,B4:B29,0),3)</f>
        <v>61</v>
      </c>
      <c r="F21" s="6">
        <f>INDEX('11of st. k.'!B4:G29,MATCH(18,B4:B29,0),4)</f>
        <v>25</v>
      </c>
      <c r="G21" s="61">
        <f>INDEX('11of st. k.'!B4:G29,MATCH(18,B4:B29,0),5)</f>
        <v>164</v>
      </c>
      <c r="H21" s="6">
        <f>INDEX('11of st. k.'!B4:G29,MATCH(18,B4:B29,0),6)</f>
        <v>-78</v>
      </c>
    </row>
    <row r="22" spans="2:8" x14ac:dyDescent="0.2">
      <c r="B22" s="6">
        <f>RANK('11of st. k.'!C22,'11of st. k.'!$C$4:'11of st. k.'!$C$29,1)+COUNTIF('11of st. k.'!$C$4:'11of st. k.'!C22,'11of st. k.'!C22)-1</f>
        <v>14</v>
      </c>
      <c r="C22" s="5" t="str">
        <f>INDEX('11of st. k.'!B4:G29,MATCH(19,B4:B29,0),1)</f>
        <v>rzeszowski</v>
      </c>
      <c r="D22" s="6">
        <f>INDEX('11of st. k.'!B4:G29,MATCH(19,B4:B29,0),2)</f>
        <v>110</v>
      </c>
      <c r="E22" s="61">
        <f>INDEX('11of st. k.'!B4:G29,MATCH(19,B4:B29,0),3)</f>
        <v>111</v>
      </c>
      <c r="F22" s="6">
        <f>INDEX('11of st. k.'!B4:G29,MATCH(19,B4:B29,0),4)</f>
        <v>-1</v>
      </c>
      <c r="G22" s="61">
        <f>INDEX('11of st. k.'!B4:G29,MATCH(19,B4:B29,0),5)</f>
        <v>83</v>
      </c>
      <c r="H22" s="6">
        <f>INDEX('11of st. k.'!B4:G29,MATCH(19,B4:B29,0),6)</f>
        <v>27</v>
      </c>
    </row>
    <row r="23" spans="2:8" x14ac:dyDescent="0.2">
      <c r="B23" s="6">
        <f>RANK('11of st. k.'!C23,'11of st. k.'!$C$4:'11of st. k.'!$C$29,1)+COUNTIF('11of st. k.'!$C$4:'11of st. k.'!C23,'11of st. k.'!C23)-1</f>
        <v>9</v>
      </c>
      <c r="C23" s="5" t="str">
        <f>INDEX('11of st. k.'!B4:G29,MATCH(20,B4:B29,0),1)</f>
        <v>ropczycko-sędziszowski</v>
      </c>
      <c r="D23" s="6">
        <f>INDEX('11of st. k.'!B4:G29,MATCH(20,B4:B29,0),2)</f>
        <v>117</v>
      </c>
      <c r="E23" s="61">
        <f>INDEX('11of st. k.'!B4:G29,MATCH(20,B4:B29,0),3)</f>
        <v>107</v>
      </c>
      <c r="F23" s="6">
        <f>INDEX('11of st. k.'!B4:G29,MATCH(20,B4:B29,0),4)</f>
        <v>10</v>
      </c>
      <c r="G23" s="61">
        <f>INDEX('11of st. k.'!B4:G29,MATCH(20,B4:B29,0),5)</f>
        <v>131</v>
      </c>
      <c r="H23" s="6">
        <f>INDEX('11of st. k.'!B4:G29,MATCH(20,B4:B29,0),6)</f>
        <v>-14</v>
      </c>
    </row>
    <row r="24" spans="2:8" x14ac:dyDescent="0.2">
      <c r="B24" s="6">
        <f>RANK('11of st. k.'!C24,'11of st. k.'!$C$4:'11of st. k.'!$C$29,1)+COUNTIF('11of st. k.'!$C$4:'11of st. k.'!C24,'11of st. k.'!C24)-1</f>
        <v>17</v>
      </c>
      <c r="C24" s="5" t="str">
        <f>INDEX('11of st. k.'!B4:G29,MATCH(21,B4:B29,0),1)</f>
        <v>dębicki</v>
      </c>
      <c r="D24" s="6">
        <f>INDEX('11of st. k.'!B4:G29,MATCH(21,B4:B29,0),2)</f>
        <v>131</v>
      </c>
      <c r="E24" s="61">
        <f>INDEX('11of st. k.'!B4:G29,MATCH(21,B4:B29,0),3)</f>
        <v>183</v>
      </c>
      <c r="F24" s="6">
        <f>INDEX('11of st. k.'!B4:G29,MATCH(21,B4:B29,0),4)</f>
        <v>-52</v>
      </c>
      <c r="G24" s="61">
        <f>INDEX('11of st. k.'!B4:G29,MATCH(21,B4:B29,0),5)</f>
        <v>149</v>
      </c>
      <c r="H24" s="6">
        <f>INDEX('11of st. k.'!B4:G29,MATCH(21,B4:B29,0),6)</f>
        <v>-18</v>
      </c>
    </row>
    <row r="25" spans="2:8" x14ac:dyDescent="0.2">
      <c r="B25" s="6">
        <f>RANK('11of st. k.'!C25,'11of st. k.'!$C$4:'11of st. k.'!$C$29,1)+COUNTIF('11of st. k.'!$C$4:'11of st. k.'!C25,'11of st. k.'!C25)-1</f>
        <v>5</v>
      </c>
      <c r="C25" s="5" t="str">
        <f>INDEX('11of st. k.'!B4:G29,MATCH(22,B4:B29,0),1)</f>
        <v>jasielski</v>
      </c>
      <c r="D25" s="6">
        <f>INDEX('11of st. k.'!B4:G29,MATCH(22,B4:B29,0),2)</f>
        <v>144</v>
      </c>
      <c r="E25" s="61">
        <f>INDEX('11of st. k.'!B4:G29,MATCH(22,B4:B29,0),3)</f>
        <v>120</v>
      </c>
      <c r="F25" s="6">
        <f>INDEX('11of st. k.'!B4:G29,MATCH(22,B4:B29,0),4)</f>
        <v>24</v>
      </c>
      <c r="G25" s="61">
        <f>INDEX('11of st. k.'!B4:G29,MATCH(22,B4:B29,0),5)</f>
        <v>100</v>
      </c>
      <c r="H25" s="6">
        <f>INDEX('11of st. k.'!B4:G29,MATCH(22,B4:B29,0),6)</f>
        <v>44</v>
      </c>
    </row>
    <row r="26" spans="2:8" x14ac:dyDescent="0.2">
      <c r="B26" s="6">
        <f>RANK('11of st. k.'!C26,'11of st. k.'!$C$4:'11of st. k.'!$C$29,1)+COUNTIF('11of st. k.'!$C$4:'11of st. k.'!C26,'11of st. k.'!C26)-1</f>
        <v>10</v>
      </c>
      <c r="C26" s="5" t="str">
        <f>INDEX('11of st. k.'!B4:G29,MATCH(23,B4:B29,0),1)</f>
        <v>przeworski</v>
      </c>
      <c r="D26" s="6">
        <f>INDEX('11of st. k.'!B4:G29,MATCH(23,B4:B29,0),2)</f>
        <v>171</v>
      </c>
      <c r="E26" s="61">
        <f>INDEX('11of st. k.'!B4:G29,MATCH(23,B4:B29,0),3)</f>
        <v>141</v>
      </c>
      <c r="F26" s="6">
        <f>INDEX('11of st. k.'!B4:G29,MATCH(23,B4:B29,0),4)</f>
        <v>30</v>
      </c>
      <c r="G26" s="61">
        <f>INDEX('11of st. k.'!B4:G29,MATCH(23,B4:B29,0),5)</f>
        <v>137</v>
      </c>
      <c r="H26" s="6">
        <f>INDEX('11of st. k.'!B4:G29,MATCH(23,B4:B29,0),6)</f>
        <v>34</v>
      </c>
    </row>
    <row r="27" spans="2:8" x14ac:dyDescent="0.2">
      <c r="B27" s="6">
        <f>RANK('11of st. k.'!C27,'11of st. k.'!$C$4:'11of st. k.'!$C$29,1)+COUNTIF('11of st. k.'!$C$4:'11of st. k.'!C27,'11of st. k.'!C27)-1</f>
        <v>25</v>
      </c>
      <c r="C27" s="5" t="str">
        <f>INDEX('11of st. k.'!B4:G29,MATCH(24,B4:B29,0),1)</f>
        <v>mielecki</v>
      </c>
      <c r="D27" s="6">
        <f>INDEX('11of st. k.'!B4:G29,MATCH(24,B4:B29,0),2)</f>
        <v>358</v>
      </c>
      <c r="E27" s="61">
        <f>INDEX('11of st. k.'!B4:G29,MATCH(24,B4:B29,0),3)</f>
        <v>248</v>
      </c>
      <c r="F27" s="6">
        <f>INDEX('11of st. k.'!B4:G29,MATCH(24,B4:B29,0),4)</f>
        <v>110</v>
      </c>
      <c r="G27" s="61">
        <f>INDEX('11of st. k.'!B4:G29,MATCH(24,B4:B29,0),5)</f>
        <v>322</v>
      </c>
      <c r="H27" s="6">
        <f>INDEX('11of st. k.'!B4:G29,MATCH(24,B4:B29,0),6)</f>
        <v>36</v>
      </c>
    </row>
    <row r="28" spans="2:8" x14ac:dyDescent="0.2">
      <c r="B28" s="6">
        <f>RANK('11of st. k.'!C28,'11of st. k.'!$C$4:'11of st. k.'!$C$29,1)+COUNTIF('11of st. k.'!$C$4:'11of st. k.'!C28,'11of st. k.'!C28)-1</f>
        <v>15</v>
      </c>
      <c r="C28" s="5" t="str">
        <f>INDEX('11of st. k.'!B4:G29,MATCH(25,B4:B29,0),1)</f>
        <v>Rzeszów</v>
      </c>
      <c r="D28" s="6">
        <f>INDEX('11of st. k.'!B4:G29,MATCH(25,B4:B29,0),2)</f>
        <v>415</v>
      </c>
      <c r="E28" s="61">
        <f>INDEX('11of st. k.'!B4:G29,MATCH(25,B4:B29,0),3)</f>
        <v>394</v>
      </c>
      <c r="F28" s="6">
        <f>INDEX('11of st. k.'!B4:G29,MATCH(25,B4:B29,0),4)</f>
        <v>21</v>
      </c>
      <c r="G28" s="61">
        <f>INDEX('11of st. k.'!B4:G29,MATCH(25,B4:B29,0),5)</f>
        <v>500</v>
      </c>
      <c r="H28" s="6">
        <f>INDEX('11of st. k.'!B4:G29,MATCH(25,B4:B29,0),6)</f>
        <v>-85</v>
      </c>
    </row>
    <row r="29" spans="2:8" ht="15" x14ac:dyDescent="0.25">
      <c r="B29" s="59">
        <f>RANK('11of st. k.'!C29,'11of st. k.'!$C$4:'11of st. k.'!$C$29,1)+COUNTIF('11of st. k.'!$C$4:'11of st. k.'!C29,'11of st. k.'!C29)-1</f>
        <v>26</v>
      </c>
      <c r="C29" s="58" t="str">
        <f>INDEX('11of st. k.'!B4:G29,MATCH(26,B4:B29,0),1)</f>
        <v>województwo</v>
      </c>
      <c r="D29" s="59">
        <f>INDEX('11of st. k.'!B4:G29,MATCH(26,B4:B29,0),2)</f>
        <v>2284</v>
      </c>
      <c r="E29" s="63">
        <f>INDEX('11of st. k.'!B4:G29,MATCH(26,B4:B29,0),3)</f>
        <v>2289</v>
      </c>
      <c r="F29" s="59">
        <f>INDEX('11of st. k.'!B4:G29,MATCH(26,B4:B29,0),4)</f>
        <v>-5</v>
      </c>
      <c r="G29" s="63">
        <f>INDEX('11of st. k.'!B4:G29,MATCH(26,B4:B29,0),5)</f>
        <v>2396</v>
      </c>
      <c r="H29" s="59">
        <f>INDEX('11of st. k.'!B4:G29,MATCH(26,B4:B29,0),6)</f>
        <v>-112</v>
      </c>
    </row>
  </sheetData>
  <pageMargins left="0.7" right="0.7" top="0.75" bottom="0.75" header="0.3" footer="0.3"/>
  <pageSetup paperSize="9" scale="64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2C61C-DB06-4959-828A-8B6385917232}">
  <sheetPr>
    <tabColor theme="0"/>
    <pageSetUpPr fitToPage="1"/>
  </sheetPr>
  <dimension ref="B1:AI30"/>
  <sheetViews>
    <sheetView zoomScale="90" zoomScaleNormal="90" workbookViewId="0">
      <selection activeCell="B1" sqref="B1"/>
    </sheetView>
  </sheetViews>
  <sheetFormatPr defaultRowHeight="11.25" x14ac:dyDescent="0.2"/>
  <cols>
    <col min="1" max="1" width="2" style="83" customWidth="1"/>
    <col min="2" max="2" width="4.7109375" style="83" customWidth="1"/>
    <col min="3" max="3" width="19.28515625" style="83" customWidth="1"/>
    <col min="4" max="4" width="8.85546875" style="83" customWidth="1"/>
    <col min="5" max="5" width="8.28515625" style="83" customWidth="1"/>
    <col min="6" max="6" width="7.140625" style="83" customWidth="1"/>
    <col min="7" max="7" width="2.28515625" style="83" customWidth="1"/>
    <col min="8" max="8" width="7.85546875" style="83" customWidth="1"/>
    <col min="9" max="9" width="8.5703125" style="83" customWidth="1"/>
    <col min="10" max="10" width="7.140625" style="83" customWidth="1"/>
    <col min="11" max="11" width="2.42578125" style="83" customWidth="1"/>
    <col min="12" max="12" width="7.140625" style="83" customWidth="1"/>
    <col min="13" max="14" width="7.42578125" style="83" customWidth="1"/>
    <col min="15" max="15" width="2.28515625" style="83" customWidth="1"/>
    <col min="16" max="16" width="5.85546875" style="83" customWidth="1"/>
    <col min="17" max="17" width="2" style="83" customWidth="1"/>
    <col min="18" max="18" width="8.28515625" style="83" customWidth="1"/>
    <col min="19" max="19" width="10" style="83" customWidth="1"/>
    <col min="20" max="20" width="6.28515625" style="83" customWidth="1"/>
    <col min="21" max="21" width="2.140625" style="83" customWidth="1"/>
    <col min="22" max="23" width="8.42578125" style="83" customWidth="1"/>
    <col min="24" max="24" width="6.85546875" style="83" customWidth="1"/>
    <col min="25" max="25" width="2.42578125" style="83" customWidth="1"/>
    <col min="26" max="26" width="6" style="109" customWidth="1"/>
    <col min="27" max="27" width="18.7109375" style="83" customWidth="1"/>
    <col min="28" max="28" width="6" style="83" customWidth="1"/>
    <col min="29" max="29" width="2.42578125" style="83" customWidth="1"/>
    <col min="30" max="30" width="6" style="83" customWidth="1"/>
    <col min="31" max="31" width="18.85546875" style="83" customWidth="1"/>
    <col min="32" max="32" width="5.28515625" style="83" customWidth="1"/>
    <col min="33" max="33" width="2.42578125" style="83" customWidth="1"/>
    <col min="34" max="34" width="4.140625" style="83" customWidth="1"/>
    <col min="35" max="35" width="4.42578125" style="83" customWidth="1"/>
    <col min="36" max="16384" width="9.140625" style="83"/>
  </cols>
  <sheetData>
    <row r="1" spans="2:35" ht="11.25" customHeight="1" x14ac:dyDescent="0.2">
      <c r="C1" s="148" t="s">
        <v>111</v>
      </c>
      <c r="D1" s="146"/>
      <c r="E1" s="146"/>
      <c r="F1" s="146"/>
      <c r="G1" s="52"/>
      <c r="H1" s="52"/>
      <c r="I1" s="52"/>
      <c r="J1" s="52"/>
      <c r="K1" s="52"/>
      <c r="L1" s="52"/>
      <c r="M1" s="52"/>
      <c r="N1" s="52"/>
      <c r="O1" s="52"/>
      <c r="Q1" s="82"/>
      <c r="S1" s="52"/>
      <c r="U1" s="82"/>
      <c r="X1" s="52"/>
      <c r="Y1" s="82"/>
    </row>
    <row r="2" spans="2:35" ht="13.5" customHeight="1" thickBot="1" x14ac:dyDescent="0.25">
      <c r="C2" s="147" t="s">
        <v>107</v>
      </c>
      <c r="D2" s="143"/>
      <c r="E2" s="143"/>
      <c r="F2" s="143"/>
      <c r="G2" s="144"/>
      <c r="H2" s="147" t="s">
        <v>108</v>
      </c>
      <c r="I2" s="144"/>
      <c r="J2" s="144"/>
      <c r="K2" s="144"/>
      <c r="L2" s="147" t="s">
        <v>109</v>
      </c>
      <c r="M2" s="144"/>
      <c r="N2" s="144"/>
      <c r="O2" s="144"/>
      <c r="P2" s="82"/>
      <c r="Q2" s="123"/>
      <c r="R2" s="164" t="s">
        <v>120</v>
      </c>
      <c r="S2" s="144"/>
      <c r="T2" s="82"/>
      <c r="U2" s="123"/>
      <c r="V2" s="82"/>
      <c r="W2" s="82"/>
      <c r="X2" s="144"/>
      <c r="Y2" s="123"/>
      <c r="Z2" s="145"/>
      <c r="AA2" s="124"/>
      <c r="AB2" s="124"/>
      <c r="AC2" s="124"/>
      <c r="AD2" s="124"/>
      <c r="AE2" s="124"/>
      <c r="AF2" s="124"/>
      <c r="AG2" s="124"/>
      <c r="AH2" s="124"/>
      <c r="AI2" s="124"/>
    </row>
    <row r="3" spans="2:35" ht="45.75" thickBot="1" x14ac:dyDescent="0.25">
      <c r="B3" s="179"/>
      <c r="C3" s="140" t="s">
        <v>27</v>
      </c>
      <c r="D3" s="149" t="s">
        <v>142</v>
      </c>
      <c r="E3" s="154" t="s">
        <v>143</v>
      </c>
      <c r="F3" s="155" t="s">
        <v>113</v>
      </c>
      <c r="G3" s="117"/>
      <c r="H3" s="150" t="s">
        <v>144</v>
      </c>
      <c r="I3" s="154" t="s">
        <v>145</v>
      </c>
      <c r="J3" s="155" t="s">
        <v>114</v>
      </c>
      <c r="K3" s="117"/>
      <c r="L3" s="150" t="s">
        <v>146</v>
      </c>
      <c r="M3" s="154" t="s">
        <v>147</v>
      </c>
      <c r="N3" s="155" t="s">
        <v>113</v>
      </c>
      <c r="O3" s="117"/>
      <c r="P3" s="151" t="s">
        <v>110</v>
      </c>
      <c r="Q3" s="121"/>
      <c r="R3" s="153" t="s">
        <v>99</v>
      </c>
      <c r="S3" s="154" t="s">
        <v>148</v>
      </c>
      <c r="T3" s="152" t="s">
        <v>112</v>
      </c>
      <c r="U3" s="85"/>
      <c r="V3" s="153" t="s">
        <v>104</v>
      </c>
      <c r="W3" s="168" t="s">
        <v>149</v>
      </c>
      <c r="X3" s="161" t="s">
        <v>119</v>
      </c>
      <c r="Z3" s="172" t="s">
        <v>100</v>
      </c>
      <c r="AA3" s="141" t="s">
        <v>97</v>
      </c>
      <c r="AB3" s="142" t="s">
        <v>97</v>
      </c>
      <c r="AC3" s="174"/>
      <c r="AD3" s="172" t="s">
        <v>101</v>
      </c>
      <c r="AE3" s="141" t="s">
        <v>98</v>
      </c>
      <c r="AF3" s="142" t="s">
        <v>98</v>
      </c>
      <c r="AG3" s="121"/>
      <c r="AH3" s="179"/>
      <c r="AI3" s="180"/>
    </row>
    <row r="4" spans="2:35" x14ac:dyDescent="0.2">
      <c r="B4" s="179">
        <v>1</v>
      </c>
      <c r="C4" s="125" t="s">
        <v>0</v>
      </c>
      <c r="D4" s="112">
        <v>559</v>
      </c>
      <c r="E4" s="96">
        <v>551</v>
      </c>
      <c r="F4" s="156">
        <f t="shared" ref="F4:F28" si="0">E4-D4</f>
        <v>-8</v>
      </c>
      <c r="G4" s="115"/>
      <c r="H4" s="84">
        <v>200</v>
      </c>
      <c r="I4" s="86">
        <v>227</v>
      </c>
      <c r="J4" s="105">
        <f t="shared" ref="J4:J28" si="1">I4-H4</f>
        <v>27</v>
      </c>
      <c r="K4" s="118"/>
      <c r="L4" s="84">
        <v>172</v>
      </c>
      <c r="M4" s="86">
        <v>144</v>
      </c>
      <c r="N4" s="105">
        <f t="shared" ref="N4:N28" si="2">M4-L4</f>
        <v>-28</v>
      </c>
      <c r="O4" s="118"/>
      <c r="P4" s="99">
        <f>F4+J4+N4</f>
        <v>-9</v>
      </c>
      <c r="Q4" s="122"/>
      <c r="R4" s="93">
        <v>1112</v>
      </c>
      <c r="S4" s="86">
        <v>987</v>
      </c>
      <c r="T4" s="101">
        <f>SUM(S4-R4)</f>
        <v>-125</v>
      </c>
      <c r="U4" s="88"/>
      <c r="V4" s="93">
        <v>1184</v>
      </c>
      <c r="W4" s="162">
        <v>1023</v>
      </c>
      <c r="X4" s="162">
        <f>SUM(W4-V4)</f>
        <v>-161</v>
      </c>
      <c r="Z4" s="99">
        <f>RANK(P4,$P$4:$P$28,1)+COUNTIF($P$4:P4,P4)-1</f>
        <v>19</v>
      </c>
      <c r="AA4" s="102" t="str">
        <f>INDEX(C4:P28,MATCH(1,Z4:Z28,0),1)</f>
        <v>mielecki</v>
      </c>
      <c r="AB4" s="86">
        <f>INDEX(C4:P28,MATCH(1,Z4:Z28,0),14)</f>
        <v>-587</v>
      </c>
      <c r="AC4" s="175"/>
      <c r="AD4" s="99">
        <f>RANK(T4,$T$4:$T$28,1)+COUNTIF($T$4:T4,T4)-1</f>
        <v>15</v>
      </c>
      <c r="AE4" s="102" t="str">
        <f>INDEX(C4:T28,MATCH(1,AD4:AD28,0),1)</f>
        <v>jarosławski</v>
      </c>
      <c r="AF4" s="86">
        <f>INDEX(C4:T28,MATCH(1,AD4:AD28,0),18)</f>
        <v>-517</v>
      </c>
      <c r="AG4" s="123"/>
      <c r="AH4" s="179">
        <v>1</v>
      </c>
      <c r="AI4" s="181">
        <f t="shared" ref="AI4:AI28" si="3">SUM(Z4)-AD4</f>
        <v>4</v>
      </c>
    </row>
    <row r="5" spans="2:35" x14ac:dyDescent="0.2">
      <c r="B5" s="179">
        <v>2</v>
      </c>
      <c r="C5" s="126" t="s">
        <v>1</v>
      </c>
      <c r="D5" s="113">
        <v>1559</v>
      </c>
      <c r="E5" s="97">
        <v>1600</v>
      </c>
      <c r="F5" s="157">
        <f t="shared" si="0"/>
        <v>41</v>
      </c>
      <c r="G5" s="115"/>
      <c r="H5" s="90">
        <v>430</v>
      </c>
      <c r="I5" s="89">
        <v>426</v>
      </c>
      <c r="J5" s="106">
        <f t="shared" si="1"/>
        <v>-4</v>
      </c>
      <c r="K5" s="118"/>
      <c r="L5" s="90">
        <v>298</v>
      </c>
      <c r="M5" s="89">
        <v>246</v>
      </c>
      <c r="N5" s="106">
        <f t="shared" si="2"/>
        <v>-52</v>
      </c>
      <c r="O5" s="118"/>
      <c r="P5" s="100">
        <f>F5+J5+N5</f>
        <v>-15</v>
      </c>
      <c r="Q5" s="122"/>
      <c r="R5" s="87">
        <v>4038</v>
      </c>
      <c r="S5" s="89">
        <v>3645</v>
      </c>
      <c r="T5" s="110">
        <f t="shared" ref="T5:T28" si="4">SUM(S5-R5)</f>
        <v>-393</v>
      </c>
      <c r="U5" s="88"/>
      <c r="V5" s="87">
        <v>4282</v>
      </c>
      <c r="W5" s="163">
        <v>3900</v>
      </c>
      <c r="X5" s="163">
        <f t="shared" ref="X5:X28" si="5">SUM(W5-V5)</f>
        <v>-382</v>
      </c>
      <c r="Z5" s="100">
        <f>RANK(P5,$P$4:$P$28,1)+COUNTIF($P$4:P5,P5)-1</f>
        <v>18</v>
      </c>
      <c r="AA5" s="103" t="str">
        <f>INDEX(C4:P28,MATCH(2,Z4:Z28,0),1)</f>
        <v>Rzeszów</v>
      </c>
      <c r="AB5" s="89">
        <f>INDEX(C4:P28,MATCH(2,Z4:Z28,0),14)</f>
        <v>-375</v>
      </c>
      <c r="AC5" s="175"/>
      <c r="AD5" s="100">
        <f>RANK(T5,$T$4:$T$28,1)+COUNTIF($T$4:T5,T5)-1</f>
        <v>4</v>
      </c>
      <c r="AE5" s="103" t="str">
        <f>INDEX(C4:T28,MATCH(2,AD4:AD28,0),1)</f>
        <v>Rzeszów</v>
      </c>
      <c r="AF5" s="89">
        <f>INDEX(C4:T28,MATCH(2,AD4:AD28,0),18)</f>
        <v>-441</v>
      </c>
      <c r="AG5" s="123"/>
      <c r="AH5" s="179">
        <v>2</v>
      </c>
      <c r="AI5" s="181">
        <f t="shared" si="3"/>
        <v>14</v>
      </c>
    </row>
    <row r="6" spans="2:35" x14ac:dyDescent="0.2">
      <c r="B6" s="179">
        <v>3</v>
      </c>
      <c r="C6" s="126" t="s">
        <v>2</v>
      </c>
      <c r="D6" s="113">
        <v>1718</v>
      </c>
      <c r="E6" s="97">
        <v>1608</v>
      </c>
      <c r="F6" s="157">
        <f t="shared" si="0"/>
        <v>-110</v>
      </c>
      <c r="G6" s="115"/>
      <c r="H6" s="90">
        <v>484</v>
      </c>
      <c r="I6" s="89">
        <v>480</v>
      </c>
      <c r="J6" s="106">
        <f t="shared" si="1"/>
        <v>-4</v>
      </c>
      <c r="K6" s="118"/>
      <c r="L6" s="90">
        <v>234</v>
      </c>
      <c r="M6" s="89">
        <v>195</v>
      </c>
      <c r="N6" s="106">
        <f t="shared" si="2"/>
        <v>-39</v>
      </c>
      <c r="O6" s="118"/>
      <c r="P6" s="100">
        <f>F6+J6+N6</f>
        <v>-153</v>
      </c>
      <c r="Q6" s="122"/>
      <c r="R6" s="87">
        <v>2435</v>
      </c>
      <c r="S6" s="89">
        <v>2368</v>
      </c>
      <c r="T6" s="89">
        <f t="shared" si="4"/>
        <v>-67</v>
      </c>
      <c r="U6" s="82"/>
      <c r="V6" s="87">
        <v>2682</v>
      </c>
      <c r="W6" s="163">
        <v>2371</v>
      </c>
      <c r="X6" s="106">
        <f t="shared" si="5"/>
        <v>-311</v>
      </c>
      <c r="Z6" s="100">
        <f>RANK(P6,$P$4:$P$28,1)+COUNTIF($P$4:P6,P6)-1</f>
        <v>10</v>
      </c>
      <c r="AA6" s="103" t="str">
        <f>INDEX(C4:P28,MATCH(3,Z4:Z28,0),1)</f>
        <v>jarosławski</v>
      </c>
      <c r="AB6" s="89">
        <f>INDEX(C4:P28,MATCH(3,Z4:Z28,0),14)</f>
        <v>-365</v>
      </c>
      <c r="AC6" s="175"/>
      <c r="AD6" s="100">
        <f>RANK(T6,$T$4:$T$28,1)+COUNTIF($T$4:T6,T6)-1</f>
        <v>18</v>
      </c>
      <c r="AE6" s="103" t="str">
        <f>INDEX(C4:T28,MATCH(3,AD4:AD28,0),1)</f>
        <v>rzeszowski</v>
      </c>
      <c r="AF6" s="89">
        <f>INDEX(C4:T28,MATCH(3,AD4:AD28,0),18)</f>
        <v>-429</v>
      </c>
      <c r="AG6" s="123"/>
      <c r="AH6" s="179">
        <v>3</v>
      </c>
      <c r="AI6" s="181">
        <f t="shared" si="3"/>
        <v>-8</v>
      </c>
    </row>
    <row r="7" spans="2:35" x14ac:dyDescent="0.2">
      <c r="B7" s="179">
        <v>4</v>
      </c>
      <c r="C7" s="126" t="s">
        <v>3</v>
      </c>
      <c r="D7" s="113">
        <v>2471</v>
      </c>
      <c r="E7" s="97">
        <v>2534</v>
      </c>
      <c r="F7" s="157">
        <f t="shared" si="0"/>
        <v>63</v>
      </c>
      <c r="G7" s="115"/>
      <c r="H7" s="90">
        <v>964</v>
      </c>
      <c r="I7" s="89">
        <v>668</v>
      </c>
      <c r="J7" s="106">
        <f t="shared" si="1"/>
        <v>-296</v>
      </c>
      <c r="K7" s="118"/>
      <c r="L7" s="90">
        <v>464</v>
      </c>
      <c r="M7" s="89">
        <v>332</v>
      </c>
      <c r="N7" s="106">
        <f t="shared" si="2"/>
        <v>-132</v>
      </c>
      <c r="O7" s="118"/>
      <c r="P7" s="100">
        <f t="shared" ref="P7:P28" si="6">F7+J7+N7</f>
        <v>-365</v>
      </c>
      <c r="Q7" s="122"/>
      <c r="R7" s="87">
        <v>4674</v>
      </c>
      <c r="S7" s="89">
        <v>4157</v>
      </c>
      <c r="T7" s="89">
        <f t="shared" si="4"/>
        <v>-517</v>
      </c>
      <c r="U7" s="82"/>
      <c r="V7" s="87">
        <v>5381</v>
      </c>
      <c r="W7" s="163">
        <v>4635</v>
      </c>
      <c r="X7" s="106">
        <f t="shared" si="5"/>
        <v>-746</v>
      </c>
      <c r="Z7" s="100">
        <f>RANK(P7,$P$4:$P$28,1)+COUNTIF($P$4:P7,P7)-1</f>
        <v>3</v>
      </c>
      <c r="AA7" s="103" t="str">
        <f>INDEX(C4:P28,MATCH(4,Z4:Z28,0),1)</f>
        <v>leżajski</v>
      </c>
      <c r="AB7" s="89">
        <f>INDEX(C4:P28,MATCH(4,Z4:Z28,0),14)</f>
        <v>-307</v>
      </c>
      <c r="AC7" s="175"/>
      <c r="AD7" s="100">
        <f>RANK(T7,$T$4:$T$28,1)+COUNTIF($T$4:T7,T7)-1</f>
        <v>1</v>
      </c>
      <c r="AE7" s="103" t="str">
        <f>INDEX(C4:T28,MATCH(4,AD4:AD28,0),1)</f>
        <v>brzozowski</v>
      </c>
      <c r="AF7" s="89">
        <f>INDEX(C4:T28,MATCH(4,AD4:AD28,0),18)</f>
        <v>-393</v>
      </c>
      <c r="AG7" s="123"/>
      <c r="AH7" s="179">
        <v>4</v>
      </c>
      <c r="AI7" s="183">
        <f t="shared" si="3"/>
        <v>2</v>
      </c>
    </row>
    <row r="8" spans="2:35" x14ac:dyDescent="0.2">
      <c r="B8" s="179">
        <v>5</v>
      </c>
      <c r="C8" s="126" t="s">
        <v>4</v>
      </c>
      <c r="D8" s="113">
        <v>1927</v>
      </c>
      <c r="E8" s="97">
        <v>2113</v>
      </c>
      <c r="F8" s="157">
        <f t="shared" si="0"/>
        <v>186</v>
      </c>
      <c r="G8" s="115"/>
      <c r="H8" s="90">
        <v>700</v>
      </c>
      <c r="I8" s="89">
        <v>649</v>
      </c>
      <c r="J8" s="106">
        <f t="shared" si="1"/>
        <v>-51</v>
      </c>
      <c r="K8" s="118"/>
      <c r="L8" s="90">
        <v>373</v>
      </c>
      <c r="M8" s="89">
        <v>323</v>
      </c>
      <c r="N8" s="106">
        <f t="shared" si="2"/>
        <v>-50</v>
      </c>
      <c r="O8" s="118"/>
      <c r="P8" s="100">
        <f t="shared" si="6"/>
        <v>85</v>
      </c>
      <c r="Q8" s="122"/>
      <c r="R8" s="87">
        <v>4926</v>
      </c>
      <c r="S8" s="89">
        <v>4830</v>
      </c>
      <c r="T8" s="89">
        <f t="shared" si="4"/>
        <v>-96</v>
      </c>
      <c r="U8" s="82"/>
      <c r="V8" s="87">
        <v>5442</v>
      </c>
      <c r="W8" s="163">
        <v>4770</v>
      </c>
      <c r="X8" s="106">
        <f t="shared" si="5"/>
        <v>-672</v>
      </c>
      <c r="Z8" s="100">
        <f>RANK(P8,$P$4:$P$28,1)+COUNTIF($P$4:P8,P8)-1</f>
        <v>24</v>
      </c>
      <c r="AA8" s="103" t="str">
        <f>INDEX(C4:P28,MATCH(5,Z4:Z28,0),1)</f>
        <v>rzeszowski</v>
      </c>
      <c r="AB8" s="89">
        <f>INDEX(C4:P28,MATCH(5,Z4:Z28,0),14)</f>
        <v>-305</v>
      </c>
      <c r="AC8" s="175"/>
      <c r="AD8" s="100">
        <f>RANK(T8,$T$4:$T$28,1)+COUNTIF($T$4:T8,T8)-1</f>
        <v>17</v>
      </c>
      <c r="AE8" s="103" t="str">
        <f>INDEX(C4:T28,MATCH(5,AD4:AD28,0),1)</f>
        <v>przeworski</v>
      </c>
      <c r="AF8" s="89">
        <f>INDEX(C4:T28,MATCH(5,AD4:AD28,0),18)</f>
        <v>-390</v>
      </c>
      <c r="AG8" s="123"/>
      <c r="AH8" s="179">
        <v>5</v>
      </c>
      <c r="AI8" s="180">
        <f t="shared" si="3"/>
        <v>7</v>
      </c>
    </row>
    <row r="9" spans="2:35" x14ac:dyDescent="0.2">
      <c r="B9" s="179">
        <v>6</v>
      </c>
      <c r="C9" s="126" t="s">
        <v>5</v>
      </c>
      <c r="D9" s="113">
        <v>971</v>
      </c>
      <c r="E9" s="97">
        <v>941</v>
      </c>
      <c r="F9" s="157">
        <f t="shared" si="0"/>
        <v>-30</v>
      </c>
      <c r="G9" s="115"/>
      <c r="H9" s="90">
        <v>205</v>
      </c>
      <c r="I9" s="89">
        <v>265</v>
      </c>
      <c r="J9" s="106">
        <f t="shared" si="1"/>
        <v>60</v>
      </c>
      <c r="K9" s="118"/>
      <c r="L9" s="90">
        <v>292</v>
      </c>
      <c r="M9" s="89">
        <v>190</v>
      </c>
      <c r="N9" s="106">
        <f t="shared" si="2"/>
        <v>-102</v>
      </c>
      <c r="O9" s="118"/>
      <c r="P9" s="100">
        <f t="shared" si="6"/>
        <v>-72</v>
      </c>
      <c r="Q9" s="122"/>
      <c r="R9" s="87">
        <v>1577</v>
      </c>
      <c r="S9" s="89">
        <v>1464</v>
      </c>
      <c r="T9" s="89">
        <f t="shared" si="4"/>
        <v>-113</v>
      </c>
      <c r="U9" s="82"/>
      <c r="V9" s="87">
        <v>1744</v>
      </c>
      <c r="W9" s="163">
        <v>1526</v>
      </c>
      <c r="X9" s="106">
        <f t="shared" si="5"/>
        <v>-218</v>
      </c>
      <c r="Z9" s="100">
        <f>RANK(P9,$P$4:$P$28,1)+COUNTIF($P$4:P9,P9)-1</f>
        <v>16</v>
      </c>
      <c r="AA9" s="103" t="str">
        <f>INDEX(C4:P28,MATCH(6,Z4:Z28,0),1)</f>
        <v>stalowowolski</v>
      </c>
      <c r="AB9" s="89">
        <f>INDEX(C4:P28,MATCH(6,Z4:Z28,0),14)</f>
        <v>-293</v>
      </c>
      <c r="AC9" s="175"/>
      <c r="AD9" s="100">
        <f>RANK(T9,$T$4:$T$28,1)+COUNTIF($T$4:T9,T9)-1</f>
        <v>16</v>
      </c>
      <c r="AE9" s="103" t="str">
        <f>INDEX(C4:T28,MATCH(6,AD4:AD28,0),1)</f>
        <v>strzyżowski</v>
      </c>
      <c r="AF9" s="89">
        <f>INDEX(C4:T28,MATCH(6,AD4:AD28,0),18)</f>
        <v>-328</v>
      </c>
      <c r="AG9" s="123"/>
      <c r="AH9" s="179">
        <v>6</v>
      </c>
      <c r="AI9" s="182">
        <f t="shared" si="3"/>
        <v>0</v>
      </c>
    </row>
    <row r="10" spans="2:35" x14ac:dyDescent="0.2">
      <c r="B10" s="179">
        <v>7</v>
      </c>
      <c r="C10" s="126" t="s">
        <v>6</v>
      </c>
      <c r="D10" s="113">
        <v>1159</v>
      </c>
      <c r="E10" s="97">
        <v>1313</v>
      </c>
      <c r="F10" s="157">
        <f t="shared" si="0"/>
        <v>154</v>
      </c>
      <c r="G10" s="115"/>
      <c r="H10" s="90">
        <v>289</v>
      </c>
      <c r="I10" s="89">
        <v>306</v>
      </c>
      <c r="J10" s="106">
        <f t="shared" si="1"/>
        <v>17</v>
      </c>
      <c r="K10" s="118"/>
      <c r="L10" s="90">
        <v>161</v>
      </c>
      <c r="M10" s="89">
        <v>132</v>
      </c>
      <c r="N10" s="106">
        <f t="shared" si="2"/>
        <v>-29</v>
      </c>
      <c r="O10" s="118"/>
      <c r="P10" s="100">
        <f>F10+J10+N10</f>
        <v>142</v>
      </c>
      <c r="Q10" s="122"/>
      <c r="R10" s="87">
        <v>2018</v>
      </c>
      <c r="S10" s="89">
        <v>2081</v>
      </c>
      <c r="T10" s="110">
        <f t="shared" si="4"/>
        <v>63</v>
      </c>
      <c r="U10" s="82"/>
      <c r="V10" s="87">
        <v>1995</v>
      </c>
      <c r="W10" s="163">
        <v>1838</v>
      </c>
      <c r="X10" s="106">
        <f t="shared" si="5"/>
        <v>-157</v>
      </c>
      <c r="Z10" s="100">
        <f>RANK(P10,$P$4:$P$28,1)+COUNTIF($P$4:P10,P10)-1</f>
        <v>25</v>
      </c>
      <c r="AA10" s="103" t="str">
        <f>INDEX(C4:P28,MATCH(7,Z4:Z28,0),1)</f>
        <v>łańcucki</v>
      </c>
      <c r="AB10" s="89">
        <f>INDEX(C4:P28,MATCH(7,Z4:Z28,0),14)</f>
        <v>-291</v>
      </c>
      <c r="AC10" s="175"/>
      <c r="AD10" s="100">
        <f>RANK(T10,$T$4:$T$28,1)+COUNTIF($T$4:T10,T10)-1</f>
        <v>24</v>
      </c>
      <c r="AE10" s="103" t="str">
        <f>INDEX(C4:T28,MATCH(7,AD4:AD28,0),1)</f>
        <v>leżajski</v>
      </c>
      <c r="AF10" s="89">
        <f>INDEX(C4:T28,MATCH(7,AD4:AD28,0),18)</f>
        <v>-277</v>
      </c>
      <c r="AG10" s="123"/>
      <c r="AH10" s="179">
        <v>7</v>
      </c>
      <c r="AI10" s="182">
        <f t="shared" si="3"/>
        <v>1</v>
      </c>
    </row>
    <row r="11" spans="2:35" x14ac:dyDescent="0.2">
      <c r="B11" s="179">
        <v>8</v>
      </c>
      <c r="C11" s="126" t="s">
        <v>7</v>
      </c>
      <c r="D11" s="113">
        <v>860</v>
      </c>
      <c r="E11" s="97">
        <v>800</v>
      </c>
      <c r="F11" s="157">
        <f t="shared" si="0"/>
        <v>-60</v>
      </c>
      <c r="G11" s="115"/>
      <c r="H11" s="90">
        <v>196</v>
      </c>
      <c r="I11" s="89">
        <v>225</v>
      </c>
      <c r="J11" s="106">
        <f t="shared" si="1"/>
        <v>29</v>
      </c>
      <c r="K11" s="118"/>
      <c r="L11" s="90">
        <v>104</v>
      </c>
      <c r="M11" s="89">
        <v>81</v>
      </c>
      <c r="N11" s="106">
        <f t="shared" si="2"/>
        <v>-23</v>
      </c>
      <c r="O11" s="118"/>
      <c r="P11" s="100">
        <f t="shared" si="6"/>
        <v>-54</v>
      </c>
      <c r="Q11" s="122"/>
      <c r="R11" s="87">
        <v>1747</v>
      </c>
      <c r="S11" s="89">
        <v>1561</v>
      </c>
      <c r="T11" s="89">
        <f t="shared" si="4"/>
        <v>-186</v>
      </c>
      <c r="U11" s="82"/>
      <c r="V11" s="87">
        <v>1745</v>
      </c>
      <c r="W11" s="163">
        <v>1625</v>
      </c>
      <c r="X11" s="106">
        <f t="shared" si="5"/>
        <v>-120</v>
      </c>
      <c r="Z11" s="100">
        <f>RANK(P11,$P$4:$P$28,1)+COUNTIF($P$4:P11,P11)-1</f>
        <v>17</v>
      </c>
      <c r="AA11" s="103" t="str">
        <f>INDEX(C4:P28,MATCH(8,Z4:Z28,0),1)</f>
        <v>ropczycko-sędziszowski</v>
      </c>
      <c r="AB11" s="89">
        <f>INDEX(C4:P28,MATCH(8,Z4:Z28,0),14)</f>
        <v>-266</v>
      </c>
      <c r="AC11" s="175"/>
      <c r="AD11" s="100">
        <f>RANK(T11,$T$4:$T$28,1)+COUNTIF($T$4:T11,T11)-1</f>
        <v>12</v>
      </c>
      <c r="AE11" s="103" t="str">
        <f>INDEX(C4:T28,MATCH(8,AD4:AD28,0),1)</f>
        <v>łańcucki</v>
      </c>
      <c r="AF11" s="89">
        <f>INDEX(C4:T28,MATCH(8,AD4:AD28,0),18)</f>
        <v>-265</v>
      </c>
      <c r="AG11" s="123"/>
      <c r="AH11" s="179">
        <v>8</v>
      </c>
      <c r="AI11" s="180">
        <f t="shared" si="3"/>
        <v>5</v>
      </c>
    </row>
    <row r="12" spans="2:35" x14ac:dyDescent="0.2">
      <c r="B12" s="179">
        <v>9</v>
      </c>
      <c r="C12" s="126" t="s">
        <v>8</v>
      </c>
      <c r="D12" s="113">
        <v>1588</v>
      </c>
      <c r="E12" s="97">
        <v>1408</v>
      </c>
      <c r="F12" s="157">
        <f t="shared" si="0"/>
        <v>-180</v>
      </c>
      <c r="G12" s="115"/>
      <c r="H12" s="90">
        <v>438</v>
      </c>
      <c r="I12" s="89">
        <v>422</v>
      </c>
      <c r="J12" s="106">
        <f t="shared" si="1"/>
        <v>-16</v>
      </c>
      <c r="K12" s="118"/>
      <c r="L12" s="90">
        <v>543</v>
      </c>
      <c r="M12" s="89">
        <v>432</v>
      </c>
      <c r="N12" s="106">
        <f t="shared" si="2"/>
        <v>-111</v>
      </c>
      <c r="O12" s="118"/>
      <c r="P12" s="100">
        <f t="shared" si="6"/>
        <v>-307</v>
      </c>
      <c r="Q12" s="122"/>
      <c r="R12" s="87">
        <v>3198</v>
      </c>
      <c r="S12" s="89">
        <v>2921</v>
      </c>
      <c r="T12" s="89">
        <f t="shared" si="4"/>
        <v>-277</v>
      </c>
      <c r="U12" s="82"/>
      <c r="V12" s="87">
        <v>3656</v>
      </c>
      <c r="W12" s="163">
        <v>3124</v>
      </c>
      <c r="X12" s="106">
        <f t="shared" si="5"/>
        <v>-532</v>
      </c>
      <c r="Z12" s="100">
        <f>RANK(P12,$P$4:$P$28,1)+COUNTIF($P$4:P12,P12)-1</f>
        <v>4</v>
      </c>
      <c r="AA12" s="103" t="str">
        <f>INDEX(C4:P28,MATCH(9,Z4:Z28,0),1)</f>
        <v>Tarnobrzeg</v>
      </c>
      <c r="AB12" s="89">
        <f>INDEX(C4:P28,MATCH(9,Z4:Z28,0),14)</f>
        <v>-182</v>
      </c>
      <c r="AC12" s="175"/>
      <c r="AD12" s="100">
        <f>RANK(T12,$T$4:$T$28,1)+COUNTIF($T$4:T12,T12)-1</f>
        <v>7</v>
      </c>
      <c r="AE12" s="103" t="str">
        <f>INDEX(C4:T28,MATCH(9,AD4:AD28,0),1)</f>
        <v>przemyski</v>
      </c>
      <c r="AF12" s="89">
        <f>INDEX(C4:T28,MATCH(9,AD4:AD28,0),18)</f>
        <v>-261</v>
      </c>
      <c r="AG12" s="123"/>
      <c r="AH12" s="179">
        <v>9</v>
      </c>
      <c r="AI12" s="182">
        <f t="shared" si="3"/>
        <v>-3</v>
      </c>
    </row>
    <row r="13" spans="2:35" x14ac:dyDescent="0.2">
      <c r="B13" s="179">
        <v>10</v>
      </c>
      <c r="C13" s="126" t="s">
        <v>9</v>
      </c>
      <c r="D13" s="113">
        <v>1015</v>
      </c>
      <c r="E13" s="97">
        <v>1035</v>
      </c>
      <c r="F13" s="157">
        <f t="shared" si="0"/>
        <v>20</v>
      </c>
      <c r="G13" s="115"/>
      <c r="H13" s="90">
        <v>301</v>
      </c>
      <c r="I13" s="89">
        <v>301</v>
      </c>
      <c r="J13" s="106">
        <f t="shared" si="1"/>
        <v>0</v>
      </c>
      <c r="K13" s="118"/>
      <c r="L13" s="90">
        <v>314</v>
      </c>
      <c r="M13" s="89">
        <v>300</v>
      </c>
      <c r="N13" s="106">
        <f t="shared" si="2"/>
        <v>-14</v>
      </c>
      <c r="O13" s="118"/>
      <c r="P13" s="100">
        <f t="shared" si="6"/>
        <v>6</v>
      </c>
      <c r="Q13" s="122"/>
      <c r="R13" s="87">
        <v>1831</v>
      </c>
      <c r="S13" s="89">
        <v>1663</v>
      </c>
      <c r="T13" s="89">
        <f t="shared" si="4"/>
        <v>-168</v>
      </c>
      <c r="U13" s="82"/>
      <c r="V13" s="87">
        <v>2056</v>
      </c>
      <c r="W13" s="163">
        <v>1731</v>
      </c>
      <c r="X13" s="106">
        <f t="shared" si="5"/>
        <v>-325</v>
      </c>
      <c r="Z13" s="100">
        <f>RANK(P13,$P$4:$P$28,1)+COUNTIF($P$4:P13,P13)-1</f>
        <v>20</v>
      </c>
      <c r="AA13" s="103" t="str">
        <f>INDEX(C4:P28,MATCH(10,Z4:Z28,0),1)</f>
        <v>dębicki</v>
      </c>
      <c r="AB13" s="89">
        <f>INDEX(C4:P28,MATCH(10,Z4:Z28,0),14)</f>
        <v>-153</v>
      </c>
      <c r="AC13" s="175"/>
      <c r="AD13" s="100">
        <f>RANK(T13,$T$4:$T$28,1)+COUNTIF($T$4:T13,T13)-1</f>
        <v>14</v>
      </c>
      <c r="AE13" s="103" t="str">
        <f>INDEX(C4:T28,MATCH(10,AD4:AD28,0),1)</f>
        <v>ropczycko-sędziszowski</v>
      </c>
      <c r="AF13" s="89">
        <f>INDEX(C4:T28,MATCH(10,AD4:AD28,0),18)</f>
        <v>-232</v>
      </c>
      <c r="AG13" s="123"/>
      <c r="AH13" s="179">
        <v>10</v>
      </c>
      <c r="AI13" s="180">
        <f t="shared" si="3"/>
        <v>6</v>
      </c>
    </row>
    <row r="14" spans="2:35" x14ac:dyDescent="0.2">
      <c r="B14" s="179">
        <v>11</v>
      </c>
      <c r="C14" s="126" t="s">
        <v>10</v>
      </c>
      <c r="D14" s="113">
        <v>1804</v>
      </c>
      <c r="E14" s="97">
        <v>1628</v>
      </c>
      <c r="F14" s="157">
        <f t="shared" si="0"/>
        <v>-176</v>
      </c>
      <c r="G14" s="115"/>
      <c r="H14" s="90">
        <v>515</v>
      </c>
      <c r="I14" s="89">
        <v>500</v>
      </c>
      <c r="J14" s="106">
        <f t="shared" si="1"/>
        <v>-15</v>
      </c>
      <c r="K14" s="118"/>
      <c r="L14" s="90">
        <v>299</v>
      </c>
      <c r="M14" s="89">
        <v>199</v>
      </c>
      <c r="N14" s="106">
        <f t="shared" si="2"/>
        <v>-100</v>
      </c>
      <c r="O14" s="118"/>
      <c r="P14" s="100">
        <f t="shared" si="6"/>
        <v>-291</v>
      </c>
      <c r="Q14" s="122"/>
      <c r="R14" s="87">
        <v>2629</v>
      </c>
      <c r="S14" s="89">
        <v>2364</v>
      </c>
      <c r="T14" s="89">
        <f t="shared" si="4"/>
        <v>-265</v>
      </c>
      <c r="U14" s="82"/>
      <c r="V14" s="87">
        <v>3297</v>
      </c>
      <c r="W14" s="163">
        <v>2576</v>
      </c>
      <c r="X14" s="106">
        <f t="shared" si="5"/>
        <v>-721</v>
      </c>
      <c r="Z14" s="100">
        <f>RANK(P14,$P$4:$P$28,1)+COUNTIF($P$4:P14,P14)-1</f>
        <v>7</v>
      </c>
      <c r="AA14" s="103" t="str">
        <f>INDEX(C4:P28,MATCH(11,Z4:Z28,0),1)</f>
        <v>przemyski</v>
      </c>
      <c r="AB14" s="89">
        <f>INDEX(C4:P28,MATCH(11,Z4:Z28,0),14)</f>
        <v>-141</v>
      </c>
      <c r="AC14" s="175"/>
      <c r="AD14" s="100">
        <f>RANK(T14,$T$4:$T$28,1)+COUNTIF($T$4:T14,T14)-1</f>
        <v>8</v>
      </c>
      <c r="AE14" s="103" t="str">
        <f>INDEX(C4:T28,MATCH(11,AD4:AD28,0),1)</f>
        <v>Przemyśl</v>
      </c>
      <c r="AF14" s="89">
        <f>INDEX(C4:T28,MATCH(11,AD4:AD28,0),18)</f>
        <v>-189</v>
      </c>
      <c r="AG14" s="123"/>
      <c r="AH14" s="179">
        <v>11</v>
      </c>
      <c r="AI14" s="180">
        <f t="shared" si="3"/>
        <v>-1</v>
      </c>
    </row>
    <row r="15" spans="2:35" x14ac:dyDescent="0.2">
      <c r="B15" s="179">
        <v>12</v>
      </c>
      <c r="C15" s="126" t="s">
        <v>11</v>
      </c>
      <c r="D15" s="113">
        <v>2408</v>
      </c>
      <c r="E15" s="97">
        <v>2303</v>
      </c>
      <c r="F15" s="157">
        <f t="shared" si="0"/>
        <v>-105</v>
      </c>
      <c r="G15" s="115"/>
      <c r="H15" s="90">
        <v>649</v>
      </c>
      <c r="I15" s="89">
        <v>499</v>
      </c>
      <c r="J15" s="106">
        <f t="shared" si="1"/>
        <v>-150</v>
      </c>
      <c r="K15" s="118"/>
      <c r="L15" s="90">
        <v>647</v>
      </c>
      <c r="M15" s="89">
        <v>315</v>
      </c>
      <c r="N15" s="106">
        <f t="shared" si="2"/>
        <v>-332</v>
      </c>
      <c r="O15" s="118"/>
      <c r="P15" s="100">
        <f t="shared" si="6"/>
        <v>-587</v>
      </c>
      <c r="Q15" s="122"/>
      <c r="R15" s="87">
        <v>2517</v>
      </c>
      <c r="S15" s="89">
        <v>2921</v>
      </c>
      <c r="T15" s="89">
        <f t="shared" si="4"/>
        <v>404</v>
      </c>
      <c r="U15" s="82"/>
      <c r="V15" s="87">
        <v>2900</v>
      </c>
      <c r="W15" s="163">
        <v>2559</v>
      </c>
      <c r="X15" s="106">
        <f t="shared" si="5"/>
        <v>-341</v>
      </c>
      <c r="Z15" s="100">
        <f>RANK(P15,$P$4:$P$28,1)+COUNTIF($P$4:P15,P15)-1</f>
        <v>1</v>
      </c>
      <c r="AA15" s="103" t="str">
        <f>INDEX(C4:P28,MATCH(12,Z4:Z28,0),1)</f>
        <v>Przemyśl</v>
      </c>
      <c r="AB15" s="89">
        <f>INDEX(C4:P28,MATCH(12,Z4:Z28,0),14)</f>
        <v>-134</v>
      </c>
      <c r="AC15" s="175"/>
      <c r="AD15" s="176">
        <f>RANK(T15,$T$4:$T$28,1)+COUNTIF($T$4:T15,T15)-1</f>
        <v>25</v>
      </c>
      <c r="AE15" s="103" t="str">
        <f>INDEX(C4:T28,MATCH(12,AD4:AD28,0),1)</f>
        <v>leski</v>
      </c>
      <c r="AF15" s="89">
        <f>INDEX(C4:T28,MATCH(12,AD4:AD28,0),18)</f>
        <v>-186</v>
      </c>
      <c r="AG15" s="123"/>
      <c r="AH15" s="179">
        <v>12</v>
      </c>
      <c r="AI15" s="180">
        <f t="shared" si="3"/>
        <v>-24</v>
      </c>
    </row>
    <row r="16" spans="2:35" x14ac:dyDescent="0.2">
      <c r="B16" s="179">
        <v>13</v>
      </c>
      <c r="C16" s="126" t="s">
        <v>12</v>
      </c>
      <c r="D16" s="113">
        <v>1185</v>
      </c>
      <c r="E16" s="97">
        <v>1251</v>
      </c>
      <c r="F16" s="157">
        <f t="shared" si="0"/>
        <v>66</v>
      </c>
      <c r="G16" s="115"/>
      <c r="H16" s="90">
        <v>596</v>
      </c>
      <c r="I16" s="89">
        <v>531</v>
      </c>
      <c r="J16" s="106">
        <f t="shared" si="1"/>
        <v>-65</v>
      </c>
      <c r="K16" s="118"/>
      <c r="L16" s="90">
        <v>365</v>
      </c>
      <c r="M16" s="89">
        <v>283</v>
      </c>
      <c r="N16" s="106">
        <f t="shared" si="2"/>
        <v>-82</v>
      </c>
      <c r="O16" s="118"/>
      <c r="P16" s="100">
        <f t="shared" si="6"/>
        <v>-81</v>
      </c>
      <c r="Q16" s="122"/>
      <c r="R16" s="87">
        <v>3116</v>
      </c>
      <c r="S16" s="89">
        <v>2943</v>
      </c>
      <c r="T16" s="89">
        <f t="shared" si="4"/>
        <v>-173</v>
      </c>
      <c r="U16" s="82"/>
      <c r="V16" s="87">
        <v>3334</v>
      </c>
      <c r="W16" s="163">
        <v>3062</v>
      </c>
      <c r="X16" s="106">
        <f t="shared" si="5"/>
        <v>-272</v>
      </c>
      <c r="Z16" s="100">
        <f>RANK(P16,$P$4:$P$28,1)+COUNTIF($P$4:P16,P16)-1</f>
        <v>15</v>
      </c>
      <c r="AA16" s="103" t="str">
        <f>INDEX(C4:P28,MATCH(13,Z4:Z28,0),1)</f>
        <v>tarnobrzeski</v>
      </c>
      <c r="AB16" s="89">
        <f>INDEX(C4:P28,MATCH(13,Z4:Z28,0),14)</f>
        <v>-114</v>
      </c>
      <c r="AC16" s="175"/>
      <c r="AD16" s="176">
        <f>RANK(T16,$T$4:$T$28,1)+COUNTIF($T$4:T16,T16)-1</f>
        <v>13</v>
      </c>
      <c r="AE16" s="103" t="str">
        <f>INDEX(C4:T28,MATCH(13,AD4:AD28,0),1)</f>
        <v>niżański</v>
      </c>
      <c r="AF16" s="89">
        <f>INDEX(C4:T28,MATCH(13,AD4:AD28,0),18)</f>
        <v>-173</v>
      </c>
      <c r="AG16" s="123"/>
      <c r="AH16" s="179">
        <v>13</v>
      </c>
      <c r="AI16" s="182">
        <f t="shared" si="3"/>
        <v>2</v>
      </c>
    </row>
    <row r="17" spans="2:35" x14ac:dyDescent="0.2">
      <c r="B17" s="179">
        <v>14</v>
      </c>
      <c r="C17" s="126" t="s">
        <v>13</v>
      </c>
      <c r="D17" s="113">
        <v>1231</v>
      </c>
      <c r="E17" s="97">
        <v>1201</v>
      </c>
      <c r="F17" s="157">
        <f t="shared" si="0"/>
        <v>-30</v>
      </c>
      <c r="G17" s="115"/>
      <c r="H17" s="90">
        <v>523</v>
      </c>
      <c r="I17" s="89">
        <v>432</v>
      </c>
      <c r="J17" s="106">
        <f t="shared" si="1"/>
        <v>-91</v>
      </c>
      <c r="K17" s="118"/>
      <c r="L17" s="90">
        <v>116</v>
      </c>
      <c r="M17" s="89">
        <v>96</v>
      </c>
      <c r="N17" s="106">
        <f t="shared" si="2"/>
        <v>-20</v>
      </c>
      <c r="O17" s="118"/>
      <c r="P17" s="100">
        <f t="shared" si="6"/>
        <v>-141</v>
      </c>
      <c r="Q17" s="122"/>
      <c r="R17" s="87">
        <v>3084</v>
      </c>
      <c r="S17" s="89">
        <v>2823</v>
      </c>
      <c r="T17" s="89">
        <f t="shared" si="4"/>
        <v>-261</v>
      </c>
      <c r="U17" s="82"/>
      <c r="V17" s="87">
        <v>3711</v>
      </c>
      <c r="W17" s="163">
        <v>2864</v>
      </c>
      <c r="X17" s="106">
        <f t="shared" si="5"/>
        <v>-847</v>
      </c>
      <c r="Z17" s="100">
        <f>RANK(P17,$P$4:$P$28,1)+COUNTIF($P$4:P17,P17)-1</f>
        <v>11</v>
      </c>
      <c r="AA17" s="103" t="str">
        <f>INDEX(C4:P28,MATCH(14,Z4:Z28,0),1)</f>
        <v>przeworski</v>
      </c>
      <c r="AB17" s="89">
        <f>INDEX(C4:P28,MATCH(14,Z4:Z28,0),14)</f>
        <v>-91</v>
      </c>
      <c r="AC17" s="175"/>
      <c r="AD17" s="176">
        <f>RANK(T17,$T$4:$T$28,1)+COUNTIF($T$4:T17,T17)-1</f>
        <v>9</v>
      </c>
      <c r="AE17" s="103" t="str">
        <f>INDEX(C4:T28,MATCH(14,AD4:AD28,0),1)</f>
        <v>lubaczowski</v>
      </c>
      <c r="AF17" s="89">
        <f>INDEX(C4:T28,MATCH(14,AD4:AD28,0),18)</f>
        <v>-168</v>
      </c>
      <c r="AG17" s="123"/>
      <c r="AH17" s="179">
        <v>14</v>
      </c>
      <c r="AI17" s="180">
        <f t="shared" si="3"/>
        <v>2</v>
      </c>
    </row>
    <row r="18" spans="2:35" x14ac:dyDescent="0.2">
      <c r="B18" s="179">
        <v>15</v>
      </c>
      <c r="C18" s="126" t="s">
        <v>14</v>
      </c>
      <c r="D18" s="113">
        <v>1811</v>
      </c>
      <c r="E18" s="97">
        <v>1847</v>
      </c>
      <c r="F18" s="157">
        <f t="shared" si="0"/>
        <v>36</v>
      </c>
      <c r="G18" s="115"/>
      <c r="H18" s="90">
        <v>668</v>
      </c>
      <c r="I18" s="89">
        <v>677</v>
      </c>
      <c r="J18" s="106">
        <f t="shared" si="1"/>
        <v>9</v>
      </c>
      <c r="K18" s="118"/>
      <c r="L18" s="90">
        <v>540</v>
      </c>
      <c r="M18" s="89">
        <v>404</v>
      </c>
      <c r="N18" s="106">
        <f t="shared" si="2"/>
        <v>-136</v>
      </c>
      <c r="O18" s="118"/>
      <c r="P18" s="100">
        <f t="shared" si="6"/>
        <v>-91</v>
      </c>
      <c r="Q18" s="122"/>
      <c r="R18" s="87">
        <v>3654</v>
      </c>
      <c r="S18" s="89">
        <v>3264</v>
      </c>
      <c r="T18" s="89">
        <f t="shared" si="4"/>
        <v>-390</v>
      </c>
      <c r="U18" s="82"/>
      <c r="V18" s="87">
        <v>3851</v>
      </c>
      <c r="W18" s="163">
        <v>3475</v>
      </c>
      <c r="X18" s="106">
        <f t="shared" si="5"/>
        <v>-376</v>
      </c>
      <c r="Z18" s="100">
        <f>RANK(P18,$P$4:$P$28,1)+COUNTIF($P$4:P18,P18)-1</f>
        <v>14</v>
      </c>
      <c r="AA18" s="103" t="str">
        <f>INDEX(C4:P28,MATCH(15,Z4:Z28,0),1)</f>
        <v>niżański</v>
      </c>
      <c r="AB18" s="89">
        <f>INDEX(C4:P28,MATCH(15,Z4:Z28,0),14)</f>
        <v>-81</v>
      </c>
      <c r="AC18" s="175"/>
      <c r="AD18" s="176">
        <f>RANK(T18,$T$4:$T$28,1)+COUNTIF($T$4:T18,T18)-1</f>
        <v>5</v>
      </c>
      <c r="AE18" s="103" t="str">
        <f>INDEX(C4:T28,MATCH(15,AD4:AD28,0),1)</f>
        <v>bieszczadzki</v>
      </c>
      <c r="AF18" s="89">
        <f>INDEX(C4:T28,MATCH(15,AD4:AD28,0),18)</f>
        <v>-125</v>
      </c>
      <c r="AG18" s="123"/>
      <c r="AH18" s="179">
        <v>15</v>
      </c>
      <c r="AI18" s="180">
        <f t="shared" si="3"/>
        <v>9</v>
      </c>
    </row>
    <row r="19" spans="2:35" ht="12" customHeight="1" x14ac:dyDescent="0.2">
      <c r="B19" s="179">
        <v>16</v>
      </c>
      <c r="C19" s="126" t="s">
        <v>15</v>
      </c>
      <c r="D19" s="113">
        <v>1717</v>
      </c>
      <c r="E19" s="97">
        <v>1608</v>
      </c>
      <c r="F19" s="157">
        <f t="shared" si="0"/>
        <v>-109</v>
      </c>
      <c r="G19" s="115"/>
      <c r="H19" s="90">
        <v>460</v>
      </c>
      <c r="I19" s="89">
        <v>410</v>
      </c>
      <c r="J19" s="106">
        <f t="shared" si="1"/>
        <v>-50</v>
      </c>
      <c r="K19" s="118"/>
      <c r="L19" s="90">
        <v>286</v>
      </c>
      <c r="M19" s="89">
        <v>179</v>
      </c>
      <c r="N19" s="106">
        <f t="shared" si="2"/>
        <v>-107</v>
      </c>
      <c r="O19" s="118"/>
      <c r="P19" s="100">
        <f t="shared" si="6"/>
        <v>-266</v>
      </c>
      <c r="Q19" s="122"/>
      <c r="R19" s="87">
        <v>2769</v>
      </c>
      <c r="S19" s="89">
        <v>2537</v>
      </c>
      <c r="T19" s="89">
        <f t="shared" si="4"/>
        <v>-232</v>
      </c>
      <c r="U19" s="82"/>
      <c r="V19" s="87">
        <v>3190</v>
      </c>
      <c r="W19" s="163">
        <v>2825</v>
      </c>
      <c r="X19" s="106">
        <f t="shared" si="5"/>
        <v>-365</v>
      </c>
      <c r="Z19" s="100">
        <f>RANK(P19,$P$4:$P$28,1)+COUNTIF($P$4:P19,P19)-1</f>
        <v>8</v>
      </c>
      <c r="AA19" s="103" t="str">
        <f>INDEX(C4:P28,MATCH(16,Z4:Z28,0),1)</f>
        <v>kolbuszowski</v>
      </c>
      <c r="AB19" s="89">
        <f>INDEX(C4:P28,MATCH(16,Z4:Z28,0),14)</f>
        <v>-72</v>
      </c>
      <c r="AC19" s="175"/>
      <c r="AD19" s="176">
        <f>RANK(T19,$T$4:$T$28,1)+COUNTIF($T$4:T19,T19)-1</f>
        <v>10</v>
      </c>
      <c r="AE19" s="103" t="str">
        <f>INDEX(C4:T28,MATCH(16,AD4:AD28,0),1)</f>
        <v>kolbuszowski</v>
      </c>
      <c r="AF19" s="89">
        <f>INDEX(C4:T28,MATCH(16,AD4:AD28,0),18)</f>
        <v>-113</v>
      </c>
      <c r="AG19" s="123"/>
      <c r="AH19" s="179">
        <v>16</v>
      </c>
      <c r="AI19" s="180">
        <f t="shared" si="3"/>
        <v>-2</v>
      </c>
    </row>
    <row r="20" spans="2:35" x14ac:dyDescent="0.2">
      <c r="B20" s="179">
        <v>17</v>
      </c>
      <c r="C20" s="126" t="s">
        <v>16</v>
      </c>
      <c r="D20" s="113">
        <v>2791</v>
      </c>
      <c r="E20" s="97">
        <v>2635</v>
      </c>
      <c r="F20" s="157">
        <f t="shared" si="0"/>
        <v>-156</v>
      </c>
      <c r="G20" s="115"/>
      <c r="H20" s="90">
        <v>490</v>
      </c>
      <c r="I20" s="89">
        <v>432</v>
      </c>
      <c r="J20" s="106">
        <f t="shared" si="1"/>
        <v>-58</v>
      </c>
      <c r="K20" s="118"/>
      <c r="L20" s="90">
        <v>288</v>
      </c>
      <c r="M20" s="89">
        <v>197</v>
      </c>
      <c r="N20" s="106">
        <f t="shared" si="2"/>
        <v>-91</v>
      </c>
      <c r="O20" s="118"/>
      <c r="P20" s="100">
        <f t="shared" si="6"/>
        <v>-305</v>
      </c>
      <c r="Q20" s="122"/>
      <c r="R20" s="87">
        <v>4962</v>
      </c>
      <c r="S20" s="89">
        <v>4533</v>
      </c>
      <c r="T20" s="89">
        <f t="shared" si="4"/>
        <v>-429</v>
      </c>
      <c r="U20" s="82"/>
      <c r="V20" s="87">
        <v>5678</v>
      </c>
      <c r="W20" s="163">
        <v>4879</v>
      </c>
      <c r="X20" s="106">
        <f t="shared" si="5"/>
        <v>-799</v>
      </c>
      <c r="Z20" s="100">
        <f>RANK(P20,$P$4:$P$28,1)+COUNTIF($P$4:P20,P20)-1</f>
        <v>5</v>
      </c>
      <c r="AA20" s="103" t="str">
        <f>INDEX(C4:P28,MATCH(17,Z4:Z28,0),1)</f>
        <v>leski</v>
      </c>
      <c r="AB20" s="89">
        <f>INDEX(C4:P28,MATCH(17,Z4:Z28,0),14)</f>
        <v>-54</v>
      </c>
      <c r="AC20" s="175"/>
      <c r="AD20" s="176">
        <f>RANK(T20,$T$4:$T$28,1)+COUNTIF($T$4:T20,T20)-1</f>
        <v>3</v>
      </c>
      <c r="AE20" s="103" t="str">
        <f>INDEX(C4:T28,MATCH(17,AD4:AD28,0),1)</f>
        <v>jasielski</v>
      </c>
      <c r="AF20" s="89">
        <f>INDEX(C4:T28,MATCH(17,AD4:AD28,0),18)</f>
        <v>-96</v>
      </c>
      <c r="AG20" s="123"/>
      <c r="AH20" s="179">
        <v>17</v>
      </c>
      <c r="AI20" s="182">
        <f t="shared" si="3"/>
        <v>2</v>
      </c>
    </row>
    <row r="21" spans="2:35" x14ac:dyDescent="0.2">
      <c r="B21" s="179">
        <v>18</v>
      </c>
      <c r="C21" s="126" t="s">
        <v>17</v>
      </c>
      <c r="D21" s="113">
        <v>1290</v>
      </c>
      <c r="E21" s="97">
        <v>1437</v>
      </c>
      <c r="F21" s="157">
        <f t="shared" si="0"/>
        <v>147</v>
      </c>
      <c r="G21" s="115"/>
      <c r="H21" s="90">
        <v>457</v>
      </c>
      <c r="I21" s="89">
        <v>419</v>
      </c>
      <c r="J21" s="106">
        <f t="shared" si="1"/>
        <v>-38</v>
      </c>
      <c r="K21" s="118"/>
      <c r="L21" s="90">
        <v>174</v>
      </c>
      <c r="M21" s="89">
        <v>149</v>
      </c>
      <c r="N21" s="106">
        <f t="shared" si="2"/>
        <v>-25</v>
      </c>
      <c r="O21" s="118"/>
      <c r="P21" s="100">
        <f t="shared" si="6"/>
        <v>84</v>
      </c>
      <c r="Q21" s="122"/>
      <c r="R21" s="87">
        <v>2644</v>
      </c>
      <c r="S21" s="89">
        <v>2680</v>
      </c>
      <c r="T21" s="89">
        <f t="shared" si="4"/>
        <v>36</v>
      </c>
      <c r="U21" s="82"/>
      <c r="V21" s="87">
        <v>2488</v>
      </c>
      <c r="W21" s="163">
        <v>2576</v>
      </c>
      <c r="X21" s="106">
        <f t="shared" si="5"/>
        <v>88</v>
      </c>
      <c r="Z21" s="100">
        <f>RANK(P21,$P$4:$P$28,1)+COUNTIF($P$4:P21,P21)-1</f>
        <v>23</v>
      </c>
      <c r="AA21" s="103" t="str">
        <f>INDEX(C4:P28,MATCH(18,Z4:Z28,0),1)</f>
        <v>brzozowski</v>
      </c>
      <c r="AB21" s="89">
        <f>INDEX(C4:P28,MATCH(18,Z4:Z28,0),14)</f>
        <v>-15</v>
      </c>
      <c r="AC21" s="175"/>
      <c r="AD21" s="176">
        <f>RANK(T21,$T$4:$T$28,1)+COUNTIF($T$4:T21,T21)-1</f>
        <v>21</v>
      </c>
      <c r="AE21" s="103" t="str">
        <f>INDEX(C4:T28,MATCH(18,AD4:AD28,0),1)</f>
        <v>dębicki</v>
      </c>
      <c r="AF21" s="89">
        <f>INDEX(C4:T28,MATCH(18,AD4:AD28,0),18)</f>
        <v>-67</v>
      </c>
      <c r="AG21" s="123"/>
      <c r="AH21" s="179">
        <v>18</v>
      </c>
      <c r="AI21" s="180">
        <f t="shared" si="3"/>
        <v>2</v>
      </c>
    </row>
    <row r="22" spans="2:35" x14ac:dyDescent="0.2">
      <c r="B22" s="179">
        <v>19</v>
      </c>
      <c r="C22" s="126" t="s">
        <v>18</v>
      </c>
      <c r="D22" s="113">
        <v>1555</v>
      </c>
      <c r="E22" s="97">
        <v>1531</v>
      </c>
      <c r="F22" s="157">
        <f t="shared" si="0"/>
        <v>-24</v>
      </c>
      <c r="G22" s="115"/>
      <c r="H22" s="90">
        <v>401</v>
      </c>
      <c r="I22" s="89">
        <v>261</v>
      </c>
      <c r="J22" s="106">
        <f t="shared" si="1"/>
        <v>-140</v>
      </c>
      <c r="K22" s="118"/>
      <c r="L22" s="90">
        <v>306</v>
      </c>
      <c r="M22" s="89">
        <v>177</v>
      </c>
      <c r="N22" s="106">
        <f t="shared" si="2"/>
        <v>-129</v>
      </c>
      <c r="O22" s="118"/>
      <c r="P22" s="100">
        <f t="shared" si="6"/>
        <v>-293</v>
      </c>
      <c r="Q22" s="122"/>
      <c r="R22" s="87">
        <v>1841</v>
      </c>
      <c r="S22" s="89">
        <v>1898</v>
      </c>
      <c r="T22" s="89">
        <f t="shared" si="4"/>
        <v>57</v>
      </c>
      <c r="U22" s="82"/>
      <c r="V22" s="87">
        <v>2204</v>
      </c>
      <c r="W22" s="163">
        <v>1858</v>
      </c>
      <c r="X22" s="106">
        <f t="shared" si="5"/>
        <v>-346</v>
      </c>
      <c r="Z22" s="100">
        <f>RANK(P22,$P$4:$P$28,1)+COUNTIF($P$4:P22,P22)-1</f>
        <v>6</v>
      </c>
      <c r="AA22" s="103" t="str">
        <f>INDEX(C4:P28,MATCH(19,Z4:Z28,0),1)</f>
        <v>bieszczadzki</v>
      </c>
      <c r="AB22" s="89">
        <f>INDEX(C4:P28,MATCH(19,Z4:Z28,0),14)</f>
        <v>-9</v>
      </c>
      <c r="AC22" s="175"/>
      <c r="AD22" s="176">
        <f>RANK(T22,$T$4:$T$28,1)+COUNTIF($T$4:T22,T22)-1</f>
        <v>23</v>
      </c>
      <c r="AE22" s="103" t="str">
        <f>INDEX(C4:T28,MATCH(19,AD4:AD28,0),1)</f>
        <v>tarnobrzeski</v>
      </c>
      <c r="AF22" s="89">
        <f>INDEX(C4:T28,MATCH(19,AD4:AD28,0),18)</f>
        <v>-33</v>
      </c>
      <c r="AG22" s="123"/>
      <c r="AH22" s="179">
        <v>19</v>
      </c>
      <c r="AI22" s="180">
        <f t="shared" si="3"/>
        <v>-17</v>
      </c>
    </row>
    <row r="23" spans="2:35" x14ac:dyDescent="0.2">
      <c r="B23" s="179">
        <v>20</v>
      </c>
      <c r="C23" s="126" t="s">
        <v>19</v>
      </c>
      <c r="D23" s="113">
        <v>1661</v>
      </c>
      <c r="E23" s="97">
        <v>1689</v>
      </c>
      <c r="F23" s="157">
        <f t="shared" si="0"/>
        <v>28</v>
      </c>
      <c r="G23" s="115"/>
      <c r="H23" s="90">
        <v>436</v>
      </c>
      <c r="I23" s="89">
        <v>501</v>
      </c>
      <c r="J23" s="106">
        <f t="shared" si="1"/>
        <v>65</v>
      </c>
      <c r="K23" s="118"/>
      <c r="L23" s="90">
        <v>591</v>
      </c>
      <c r="M23" s="89">
        <v>577</v>
      </c>
      <c r="N23" s="106">
        <f t="shared" si="2"/>
        <v>-14</v>
      </c>
      <c r="O23" s="118"/>
      <c r="P23" s="100">
        <f t="shared" si="6"/>
        <v>79</v>
      </c>
      <c r="Q23" s="122"/>
      <c r="R23" s="87">
        <v>3266</v>
      </c>
      <c r="S23" s="89">
        <v>2938</v>
      </c>
      <c r="T23" s="89">
        <f t="shared" si="4"/>
        <v>-328</v>
      </c>
      <c r="U23" s="82"/>
      <c r="V23" s="87">
        <v>3535</v>
      </c>
      <c r="W23" s="163">
        <v>3179</v>
      </c>
      <c r="X23" s="106">
        <f t="shared" si="5"/>
        <v>-356</v>
      </c>
      <c r="Z23" s="100">
        <f>RANK(P23,$P$4:$P$28,1)+COUNTIF($P$4:P23,P23)-1</f>
        <v>22</v>
      </c>
      <c r="AA23" s="103" t="str">
        <f>INDEX(C4:P28,MATCH(20,Z4:Z28,0),1)</f>
        <v>lubaczowski</v>
      </c>
      <c r="AB23" s="89">
        <f>INDEX(C4:P28,MATCH(20,Z4:Z28,0),14)</f>
        <v>6</v>
      </c>
      <c r="AC23" s="175"/>
      <c r="AD23" s="176">
        <f>RANK(T23,$T$4:$T$28,1)+COUNTIF($T$4:T23,T23)-1</f>
        <v>6</v>
      </c>
      <c r="AE23" s="103" t="str">
        <f>INDEX(C4:T28,MATCH(20,AD4:AD28,0),1)</f>
        <v>Tarnobrzeg</v>
      </c>
      <c r="AF23" s="89">
        <f>INDEX(C4:T28,MATCH(20,AD4:AD28,0),18)</f>
        <v>0</v>
      </c>
      <c r="AG23" s="123"/>
      <c r="AH23" s="179">
        <v>20</v>
      </c>
      <c r="AI23" s="180">
        <f t="shared" si="3"/>
        <v>16</v>
      </c>
    </row>
    <row r="24" spans="2:35" ht="12" thickBot="1" x14ac:dyDescent="0.25">
      <c r="B24" s="179">
        <v>21</v>
      </c>
      <c r="C24" s="127" t="s">
        <v>102</v>
      </c>
      <c r="D24" s="114">
        <v>941</v>
      </c>
      <c r="E24" s="119">
        <v>879</v>
      </c>
      <c r="F24" s="158">
        <f t="shared" si="0"/>
        <v>-62</v>
      </c>
      <c r="G24" s="115"/>
      <c r="H24" s="94">
        <v>311</v>
      </c>
      <c r="I24" s="91">
        <v>297</v>
      </c>
      <c r="J24" s="108">
        <f t="shared" si="1"/>
        <v>-14</v>
      </c>
      <c r="K24" s="118"/>
      <c r="L24" s="94">
        <v>178</v>
      </c>
      <c r="M24" s="91">
        <v>140</v>
      </c>
      <c r="N24" s="108">
        <f t="shared" si="2"/>
        <v>-38</v>
      </c>
      <c r="O24" s="118"/>
      <c r="P24" s="130">
        <f t="shared" si="6"/>
        <v>-114</v>
      </c>
      <c r="Q24" s="122"/>
      <c r="R24" s="95">
        <v>1284</v>
      </c>
      <c r="S24" s="91">
        <v>1251</v>
      </c>
      <c r="T24" s="92">
        <f t="shared" si="4"/>
        <v>-33</v>
      </c>
      <c r="U24" s="82"/>
      <c r="V24" s="95">
        <v>1610</v>
      </c>
      <c r="W24" s="169">
        <v>1259</v>
      </c>
      <c r="X24" s="107">
        <f t="shared" si="5"/>
        <v>-351</v>
      </c>
      <c r="Z24" s="173">
        <f>RANK(P24,$P$4:$P$28,1)+COUNTIF($P$4:P24,P24)-1</f>
        <v>13</v>
      </c>
      <c r="AA24" s="131" t="str">
        <f>INDEX(C4:P28,MATCH(21,Z4:Z28,0),1)</f>
        <v>Krosno</v>
      </c>
      <c r="AB24" s="92">
        <f>INDEX(C4:P28,MATCH(21,Z4:Z28,0),14)</f>
        <v>27</v>
      </c>
      <c r="AC24" s="175"/>
      <c r="AD24" s="177">
        <f>RANK(T24,$T$4:$T$28,1)+COUNTIF($T$4:T24,T24)-1</f>
        <v>19</v>
      </c>
      <c r="AE24" s="131" t="str">
        <f>INDEX(C4:T28,MATCH(21,AD4:AD28,0),1)</f>
        <v>sanocki</v>
      </c>
      <c r="AF24" s="92">
        <f>INDEX(C4:T28,MATCH(21,AD4:AD28,0),18)</f>
        <v>36</v>
      </c>
      <c r="AG24" s="123"/>
      <c r="AH24" s="179">
        <v>21</v>
      </c>
      <c r="AI24" s="180">
        <f t="shared" si="3"/>
        <v>-6</v>
      </c>
    </row>
    <row r="25" spans="2:35" x14ac:dyDescent="0.2">
      <c r="B25" s="179">
        <v>22</v>
      </c>
      <c r="C25" s="128" t="s">
        <v>21</v>
      </c>
      <c r="D25" s="113">
        <v>488</v>
      </c>
      <c r="E25" s="98">
        <v>521</v>
      </c>
      <c r="F25" s="159">
        <f t="shared" si="0"/>
        <v>33</v>
      </c>
      <c r="G25" s="116"/>
      <c r="H25" s="90">
        <v>111</v>
      </c>
      <c r="I25" s="89">
        <v>123</v>
      </c>
      <c r="J25" s="106">
        <f t="shared" si="1"/>
        <v>12</v>
      </c>
      <c r="K25" s="118"/>
      <c r="L25" s="90">
        <v>61</v>
      </c>
      <c r="M25" s="89">
        <v>43</v>
      </c>
      <c r="N25" s="106">
        <f t="shared" si="2"/>
        <v>-18</v>
      </c>
      <c r="O25" s="118"/>
      <c r="P25" s="100">
        <f t="shared" si="6"/>
        <v>27</v>
      </c>
      <c r="Q25" s="122"/>
      <c r="R25" s="87">
        <v>720</v>
      </c>
      <c r="S25" s="89">
        <v>765</v>
      </c>
      <c r="T25" s="86">
        <f t="shared" si="4"/>
        <v>45</v>
      </c>
      <c r="U25" s="82"/>
      <c r="V25" s="87">
        <v>701</v>
      </c>
      <c r="W25" s="163">
        <v>680</v>
      </c>
      <c r="X25" s="162">
        <f t="shared" si="5"/>
        <v>-21</v>
      </c>
      <c r="Z25" s="99">
        <f>RANK(P25,$P$4:$P$28,1)+COUNTIF($P$4:P25,P25)-1</f>
        <v>21</v>
      </c>
      <c r="AA25" s="102" t="str">
        <f>INDEX(C4:P28,MATCH(22,Z4:Z28,0),1)</f>
        <v>strzyżowski</v>
      </c>
      <c r="AB25" s="86">
        <f>INDEX(C4:P28,MATCH(22,Z4:Z28,0),14)</f>
        <v>79</v>
      </c>
      <c r="AC25" s="175"/>
      <c r="AD25" s="99">
        <f>RANK(T25,$T$4:$T$28,1)+COUNTIF($T$4:T25,T25)-1</f>
        <v>22</v>
      </c>
      <c r="AE25" s="102" t="str">
        <f>INDEX(C4:T28,MATCH(22,AD4:AD28,0),1)</f>
        <v>Krosno</v>
      </c>
      <c r="AF25" s="86">
        <f>INDEX(C4:T28,MATCH(22,AD4:AD28,0),18)</f>
        <v>45</v>
      </c>
      <c r="AG25" s="123"/>
      <c r="AH25" s="179">
        <v>22</v>
      </c>
      <c r="AI25" s="180">
        <f t="shared" si="3"/>
        <v>-1</v>
      </c>
    </row>
    <row r="26" spans="2:35" x14ac:dyDescent="0.2">
      <c r="B26" s="179">
        <v>23</v>
      </c>
      <c r="C26" s="128" t="s">
        <v>22</v>
      </c>
      <c r="D26" s="113">
        <v>1027</v>
      </c>
      <c r="E26" s="98">
        <v>907</v>
      </c>
      <c r="F26" s="159">
        <f t="shared" si="0"/>
        <v>-120</v>
      </c>
      <c r="G26" s="116"/>
      <c r="H26" s="90">
        <v>316</v>
      </c>
      <c r="I26" s="89">
        <v>311</v>
      </c>
      <c r="J26" s="106">
        <f t="shared" si="1"/>
        <v>-5</v>
      </c>
      <c r="K26" s="118"/>
      <c r="L26" s="90">
        <v>74</v>
      </c>
      <c r="M26" s="89">
        <v>65</v>
      </c>
      <c r="N26" s="106">
        <f t="shared" si="2"/>
        <v>-9</v>
      </c>
      <c r="O26" s="118"/>
      <c r="P26" s="100">
        <f t="shared" si="6"/>
        <v>-134</v>
      </c>
      <c r="Q26" s="122"/>
      <c r="R26" s="87">
        <v>2487</v>
      </c>
      <c r="S26" s="89">
        <v>2298</v>
      </c>
      <c r="T26" s="89">
        <f t="shared" si="4"/>
        <v>-189</v>
      </c>
      <c r="U26" s="82"/>
      <c r="V26" s="87">
        <v>2907</v>
      </c>
      <c r="W26" s="163">
        <v>2414</v>
      </c>
      <c r="X26" s="106">
        <f t="shared" si="5"/>
        <v>-493</v>
      </c>
      <c r="Z26" s="100">
        <f>RANK(P26,$P$4:$P$28,1)+COUNTIF($P$4:P26,P26)-1</f>
        <v>12</v>
      </c>
      <c r="AA26" s="103" t="str">
        <f>INDEX(C4:P28,MATCH(23,Z4:Z28,0),1)</f>
        <v>sanocki</v>
      </c>
      <c r="AB26" s="89">
        <f>INDEX(C4:P28,MATCH(23,Z4:Z28,0),14)</f>
        <v>84</v>
      </c>
      <c r="AC26" s="175"/>
      <c r="AD26" s="176">
        <f>RANK(T26,$T$4:$T$28,1)+COUNTIF($T$4:T26,T26)-1</f>
        <v>11</v>
      </c>
      <c r="AE26" s="103" t="str">
        <f>INDEX(C4:T28,MATCH(23,AD4:AD28,0),1)</f>
        <v>stalowowolski</v>
      </c>
      <c r="AF26" s="89">
        <f>INDEX(C4:T28,MATCH(23,AD4:AD28,0),18)</f>
        <v>57</v>
      </c>
      <c r="AG26" s="123"/>
      <c r="AH26" s="179">
        <v>23</v>
      </c>
      <c r="AI26" s="182">
        <f t="shared" si="3"/>
        <v>1</v>
      </c>
    </row>
    <row r="27" spans="2:35" x14ac:dyDescent="0.2">
      <c r="B27" s="179">
        <v>24</v>
      </c>
      <c r="C27" s="128" t="s">
        <v>23</v>
      </c>
      <c r="D27" s="113">
        <v>3267</v>
      </c>
      <c r="E27" s="98">
        <v>3043</v>
      </c>
      <c r="F27" s="159">
        <f t="shared" si="0"/>
        <v>-224</v>
      </c>
      <c r="G27" s="116"/>
      <c r="H27" s="90">
        <v>537</v>
      </c>
      <c r="I27" s="89">
        <v>490</v>
      </c>
      <c r="J27" s="106">
        <f t="shared" si="1"/>
        <v>-47</v>
      </c>
      <c r="K27" s="118"/>
      <c r="L27" s="90">
        <v>345</v>
      </c>
      <c r="M27" s="89">
        <v>241</v>
      </c>
      <c r="N27" s="106">
        <f t="shared" si="2"/>
        <v>-104</v>
      </c>
      <c r="O27" s="118"/>
      <c r="P27" s="100">
        <f t="shared" si="6"/>
        <v>-375</v>
      </c>
      <c r="Q27" s="122"/>
      <c r="R27" s="87">
        <v>5452</v>
      </c>
      <c r="S27" s="89">
        <v>5011</v>
      </c>
      <c r="T27" s="89">
        <f t="shared" si="4"/>
        <v>-441</v>
      </c>
      <c r="U27" s="82"/>
      <c r="V27" s="87">
        <v>6294</v>
      </c>
      <c r="W27" s="163">
        <v>5585</v>
      </c>
      <c r="X27" s="106">
        <f t="shared" si="5"/>
        <v>-709</v>
      </c>
      <c r="Z27" s="100">
        <f>RANK(P27,$P$4:$P$28,1)+COUNTIF($P$4:P27,P27)-1</f>
        <v>2</v>
      </c>
      <c r="AA27" s="103" t="str">
        <f>INDEX(C4:P28,MATCH(24,Z4:Z28,0),1)</f>
        <v>jasielski</v>
      </c>
      <c r="AB27" s="89">
        <f>INDEX(C4:P28,MATCH(24,Z4:Z28,0),14)</f>
        <v>85</v>
      </c>
      <c r="AC27" s="175"/>
      <c r="AD27" s="176">
        <f>RANK(T27,$T$4:$T$28,1)+COUNTIF($T$4:T27,T27)-1</f>
        <v>2</v>
      </c>
      <c r="AE27" s="103" t="str">
        <f>INDEX(C4:T28,MATCH(24,AD4:AD28,0),1)</f>
        <v>krośnieński</v>
      </c>
      <c r="AF27" s="89">
        <f>INDEX(C4:T28,MATCH(24,AD4:AD28,0),18)</f>
        <v>63</v>
      </c>
      <c r="AG27" s="123"/>
      <c r="AH27" s="179">
        <v>24</v>
      </c>
      <c r="AI27" s="180">
        <f t="shared" si="3"/>
        <v>0</v>
      </c>
    </row>
    <row r="28" spans="2:35" ht="12" thickBot="1" x14ac:dyDescent="0.25">
      <c r="B28" s="179">
        <v>25</v>
      </c>
      <c r="C28" s="129" t="s">
        <v>24</v>
      </c>
      <c r="D28" s="114">
        <v>813</v>
      </c>
      <c r="E28" s="120">
        <v>726</v>
      </c>
      <c r="F28" s="160">
        <f t="shared" si="0"/>
        <v>-87</v>
      </c>
      <c r="G28" s="116"/>
      <c r="H28" s="94">
        <v>239</v>
      </c>
      <c r="I28" s="91">
        <v>198</v>
      </c>
      <c r="J28" s="108">
        <f t="shared" si="1"/>
        <v>-41</v>
      </c>
      <c r="K28" s="118"/>
      <c r="L28" s="94">
        <v>206</v>
      </c>
      <c r="M28" s="91">
        <v>152</v>
      </c>
      <c r="N28" s="108">
        <f t="shared" si="2"/>
        <v>-54</v>
      </c>
      <c r="O28" s="118"/>
      <c r="P28" s="130">
        <f t="shared" si="6"/>
        <v>-182</v>
      </c>
      <c r="Q28" s="122"/>
      <c r="R28" s="95">
        <v>1065</v>
      </c>
      <c r="S28" s="91">
        <v>1065</v>
      </c>
      <c r="T28" s="91">
        <f t="shared" si="4"/>
        <v>0</v>
      </c>
      <c r="U28" s="82"/>
      <c r="V28" s="95">
        <v>1424</v>
      </c>
      <c r="W28" s="169">
        <v>1076</v>
      </c>
      <c r="X28" s="108">
        <f t="shared" si="5"/>
        <v>-348</v>
      </c>
      <c r="Z28" s="130">
        <f>RANK(P28,$P$4:$P$28,1)+COUNTIF($P$4:P28,P28)-1</f>
        <v>9</v>
      </c>
      <c r="AA28" s="104" t="str">
        <f>INDEX(C4:P28,MATCH(25,Z4:Z28,0),1)</f>
        <v>krośnieński</v>
      </c>
      <c r="AB28" s="91">
        <f>INDEX(C4:P28,MATCH(25,Z4:Z28,0),14)</f>
        <v>142</v>
      </c>
      <c r="AC28" s="175"/>
      <c r="AD28" s="178">
        <f>RANK(T28,$T$4:$T$28,1)+COUNTIF($T$4:T28,T28)-1</f>
        <v>20</v>
      </c>
      <c r="AE28" s="104" t="str">
        <f>INDEX(C4:T28,MATCH(25,AD4:AD28,0),1)</f>
        <v>mielecki</v>
      </c>
      <c r="AF28" s="91">
        <f>INDEX(C4:T28,MATCH(25,AD4:AD28,0),18)</f>
        <v>404</v>
      </c>
      <c r="AG28" s="123"/>
      <c r="AH28" s="179">
        <v>25</v>
      </c>
      <c r="AI28" s="180">
        <f t="shared" si="3"/>
        <v>-11</v>
      </c>
    </row>
    <row r="29" spans="2:35" ht="12" thickBot="1" x14ac:dyDescent="0.25">
      <c r="C29" s="132" t="s">
        <v>103</v>
      </c>
      <c r="D29" s="133">
        <f>SUM(D4:D28)</f>
        <v>37816</v>
      </c>
      <c r="E29" s="138">
        <f>SUM(E4:E28)</f>
        <v>37109</v>
      </c>
      <c r="F29" s="139">
        <f t="shared" ref="F29:S29" si="7">SUM(F4:F28)</f>
        <v>-707</v>
      </c>
      <c r="G29" s="118"/>
      <c r="H29" s="135">
        <f t="shared" si="7"/>
        <v>10916</v>
      </c>
      <c r="I29" s="134">
        <f t="shared" si="7"/>
        <v>10050</v>
      </c>
      <c r="J29" s="139">
        <f t="shared" si="7"/>
        <v>-866</v>
      </c>
      <c r="K29" s="118"/>
      <c r="L29" s="135">
        <f t="shared" si="7"/>
        <v>7431</v>
      </c>
      <c r="M29" s="134">
        <f t="shared" si="7"/>
        <v>5592</v>
      </c>
      <c r="N29" s="139">
        <f t="shared" si="7"/>
        <v>-1839</v>
      </c>
      <c r="O29" s="118"/>
      <c r="P29" s="136">
        <f t="shared" si="7"/>
        <v>-3412</v>
      </c>
      <c r="Q29" s="123"/>
      <c r="R29" s="137">
        <f t="shared" si="7"/>
        <v>69046</v>
      </c>
      <c r="S29" s="134">
        <f t="shared" si="7"/>
        <v>64968</v>
      </c>
      <c r="T29" s="138">
        <f>SUM(T4:T28)</f>
        <v>-4078</v>
      </c>
      <c r="U29" s="82"/>
      <c r="V29" s="137">
        <f>SUM(V4:V28)</f>
        <v>77291</v>
      </c>
      <c r="W29" s="170">
        <f>SUM(W4:W28)</f>
        <v>67410</v>
      </c>
      <c r="X29" s="170">
        <f>SUM(W29-V29)</f>
        <v>-9881</v>
      </c>
      <c r="Z29" s="171"/>
      <c r="AA29" s="171"/>
      <c r="AB29" s="171"/>
      <c r="AC29" s="123"/>
      <c r="AD29" s="171"/>
      <c r="AE29" s="171"/>
      <c r="AF29" s="171"/>
      <c r="AG29" s="123"/>
      <c r="AH29" s="123"/>
      <c r="AI29" s="109"/>
    </row>
    <row r="30" spans="2:35" x14ac:dyDescent="0.2">
      <c r="Q30" s="124"/>
    </row>
  </sheetData>
  <pageMargins left="0" right="0" top="0" bottom="0" header="0" footer="0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C00"/>
    <pageSetUpPr fitToPage="1"/>
  </sheetPr>
  <dimension ref="B1:L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5.140625" style="3" customWidth="1"/>
    <col min="3" max="3" width="15.140625" style="3" customWidth="1"/>
    <col min="4" max="4" width="14.5703125" style="3" customWidth="1"/>
    <col min="5" max="5" width="17.42578125" style="3" customWidth="1"/>
    <col min="6" max="6" width="14.7109375" style="3" customWidth="1"/>
    <col min="7" max="7" width="17" style="3" customWidth="1"/>
    <col min="8" max="8" width="3.85546875" style="3" customWidth="1"/>
    <col min="9" max="9" width="24.85546875" style="3" customWidth="1"/>
    <col min="10" max="10" width="15.140625" style="3" customWidth="1"/>
    <col min="11" max="11" width="10.85546875" style="3" customWidth="1"/>
    <col min="12" max="12" width="10.42578125" style="3" customWidth="1"/>
    <col min="13" max="13" width="5.5703125" style="3" customWidth="1"/>
    <col min="14" max="16384" width="9.140625" style="3"/>
  </cols>
  <sheetData>
    <row r="1" spans="2:12" x14ac:dyDescent="0.2">
      <c r="B1" s="2" t="s">
        <v>79</v>
      </c>
      <c r="I1" s="3" t="s">
        <v>83</v>
      </c>
    </row>
    <row r="2" spans="2:12" ht="75" customHeight="1" x14ac:dyDescent="0.2">
      <c r="B2" s="55" t="s">
        <v>27</v>
      </c>
      <c r="C2" s="56" t="s">
        <v>124</v>
      </c>
      <c r="D2" s="57" t="s">
        <v>105</v>
      </c>
      <c r="E2" s="56" t="s">
        <v>28</v>
      </c>
      <c r="F2" s="57" t="s">
        <v>125</v>
      </c>
      <c r="G2" s="56" t="s">
        <v>26</v>
      </c>
      <c r="I2" s="55" t="s">
        <v>27</v>
      </c>
      <c r="J2" s="56" t="str">
        <f>T('1bezr.'!C2)</f>
        <v>liczba bezrobotnych ogółem stan na 31 X '23 r.</v>
      </c>
      <c r="K2" s="56" t="s">
        <v>77</v>
      </c>
      <c r="L2" s="56" t="s">
        <v>92</v>
      </c>
    </row>
    <row r="3" spans="2:12" x14ac:dyDescent="0.2">
      <c r="B3" s="5" t="s">
        <v>0</v>
      </c>
      <c r="C3" s="6">
        <v>495</v>
      </c>
      <c r="D3" s="61">
        <v>488</v>
      </c>
      <c r="E3" s="6">
        <f t="shared" ref="E3:E26" si="0">SUM(C3)-D3</f>
        <v>7</v>
      </c>
      <c r="F3" s="61">
        <v>519</v>
      </c>
      <c r="G3" s="6">
        <f t="shared" ref="G3:G26" si="1">SUM(C3)-F3</f>
        <v>-24</v>
      </c>
      <c r="I3" s="5" t="s">
        <v>0</v>
      </c>
      <c r="J3" s="6">
        <f>SUM('1bezr.'!C3)</f>
        <v>987</v>
      </c>
      <c r="K3" s="6">
        <f>SUM(C3)</f>
        <v>495</v>
      </c>
      <c r="L3" s="24">
        <f t="shared" ref="L3:L28" si="2">SUM(K3)/J3*100</f>
        <v>50.151975683890583</v>
      </c>
    </row>
    <row r="4" spans="2:12" x14ac:dyDescent="0.2">
      <c r="B4" s="5" t="s">
        <v>1</v>
      </c>
      <c r="C4" s="6">
        <v>1866</v>
      </c>
      <c r="D4" s="61">
        <v>1865</v>
      </c>
      <c r="E4" s="6">
        <f t="shared" si="0"/>
        <v>1</v>
      </c>
      <c r="F4" s="61">
        <v>2050</v>
      </c>
      <c r="G4" s="6">
        <f t="shared" si="1"/>
        <v>-184</v>
      </c>
      <c r="I4" s="5" t="s">
        <v>1</v>
      </c>
      <c r="J4" s="6">
        <f>SUM('1bezr.'!C4)</f>
        <v>3645</v>
      </c>
      <c r="K4" s="6">
        <f t="shared" ref="K4:K27" si="3">SUM(C4)</f>
        <v>1866</v>
      </c>
      <c r="L4" s="24">
        <f t="shared" si="2"/>
        <v>51.193415637860085</v>
      </c>
    </row>
    <row r="5" spans="2:12" x14ac:dyDescent="0.2">
      <c r="B5" s="5" t="s">
        <v>2</v>
      </c>
      <c r="C5" s="6">
        <v>1396</v>
      </c>
      <c r="D5" s="61">
        <v>1425</v>
      </c>
      <c r="E5" s="6">
        <f t="shared" si="0"/>
        <v>-29</v>
      </c>
      <c r="F5" s="61">
        <v>1518</v>
      </c>
      <c r="G5" s="6">
        <f t="shared" si="1"/>
        <v>-122</v>
      </c>
      <c r="I5" s="5" t="s">
        <v>2</v>
      </c>
      <c r="J5" s="6">
        <f>SUM('1bezr.'!C5)</f>
        <v>2368</v>
      </c>
      <c r="K5" s="6">
        <f t="shared" si="3"/>
        <v>1396</v>
      </c>
      <c r="L5" s="24">
        <f t="shared" si="2"/>
        <v>58.952702702702695</v>
      </c>
    </row>
    <row r="6" spans="2:12" x14ac:dyDescent="0.2">
      <c r="B6" s="5" t="s">
        <v>3</v>
      </c>
      <c r="C6" s="6">
        <v>2201</v>
      </c>
      <c r="D6" s="61">
        <v>2236</v>
      </c>
      <c r="E6" s="6">
        <f t="shared" si="0"/>
        <v>-35</v>
      </c>
      <c r="F6" s="61">
        <v>2491</v>
      </c>
      <c r="G6" s="6">
        <f t="shared" si="1"/>
        <v>-290</v>
      </c>
      <c r="I6" s="5" t="s">
        <v>3</v>
      </c>
      <c r="J6" s="6">
        <f>SUM('1bezr.'!C6)</f>
        <v>4157</v>
      </c>
      <c r="K6" s="6">
        <f t="shared" si="3"/>
        <v>2201</v>
      </c>
      <c r="L6" s="24">
        <f t="shared" si="2"/>
        <v>52.946836661053645</v>
      </c>
    </row>
    <row r="7" spans="2:12" x14ac:dyDescent="0.2">
      <c r="B7" s="5" t="s">
        <v>4</v>
      </c>
      <c r="C7" s="6">
        <v>2795</v>
      </c>
      <c r="D7" s="61">
        <v>2759</v>
      </c>
      <c r="E7" s="6">
        <f t="shared" si="0"/>
        <v>36</v>
      </c>
      <c r="F7" s="61">
        <v>2838</v>
      </c>
      <c r="G7" s="6">
        <f t="shared" si="1"/>
        <v>-43</v>
      </c>
      <c r="I7" s="5" t="s">
        <v>4</v>
      </c>
      <c r="J7" s="6">
        <f>SUM('1bezr.'!C7)</f>
        <v>4830</v>
      </c>
      <c r="K7" s="6">
        <f t="shared" si="3"/>
        <v>2795</v>
      </c>
      <c r="L7" s="24">
        <f t="shared" si="2"/>
        <v>57.867494824016561</v>
      </c>
    </row>
    <row r="8" spans="2:12" x14ac:dyDescent="0.2">
      <c r="B8" s="5" t="s">
        <v>5</v>
      </c>
      <c r="C8" s="6">
        <v>724</v>
      </c>
      <c r="D8" s="61">
        <v>741</v>
      </c>
      <c r="E8" s="6">
        <f t="shared" si="0"/>
        <v>-17</v>
      </c>
      <c r="F8" s="61">
        <v>797</v>
      </c>
      <c r="G8" s="6">
        <f t="shared" si="1"/>
        <v>-73</v>
      </c>
      <c r="I8" s="5" t="s">
        <v>5</v>
      </c>
      <c r="J8" s="6">
        <f>SUM('1bezr.'!C8)</f>
        <v>1464</v>
      </c>
      <c r="K8" s="6">
        <f t="shared" si="3"/>
        <v>724</v>
      </c>
      <c r="L8" s="24">
        <f>SUM(K8)/J8*100</f>
        <v>49.453551912568308</v>
      </c>
    </row>
    <row r="9" spans="2:12" x14ac:dyDescent="0.2">
      <c r="B9" s="9" t="s">
        <v>6</v>
      </c>
      <c r="C9" s="6">
        <v>1164</v>
      </c>
      <c r="D9" s="61">
        <v>1136</v>
      </c>
      <c r="E9" s="6">
        <f t="shared" si="0"/>
        <v>28</v>
      </c>
      <c r="F9" s="61">
        <v>1038</v>
      </c>
      <c r="G9" s="6">
        <f t="shared" si="1"/>
        <v>126</v>
      </c>
      <c r="I9" s="9" t="s">
        <v>6</v>
      </c>
      <c r="J9" s="6">
        <f>SUM('1bezr.'!C9)</f>
        <v>2081</v>
      </c>
      <c r="K9" s="6">
        <f t="shared" si="3"/>
        <v>1164</v>
      </c>
      <c r="L9" s="24">
        <f t="shared" si="2"/>
        <v>55.93464680442095</v>
      </c>
    </row>
    <row r="10" spans="2:12" x14ac:dyDescent="0.2">
      <c r="B10" s="5" t="s">
        <v>7</v>
      </c>
      <c r="C10" s="6">
        <v>717</v>
      </c>
      <c r="D10" s="61">
        <v>697</v>
      </c>
      <c r="E10" s="6">
        <f t="shared" si="0"/>
        <v>20</v>
      </c>
      <c r="F10" s="61">
        <v>767</v>
      </c>
      <c r="G10" s="6">
        <f t="shared" si="1"/>
        <v>-50</v>
      </c>
      <c r="I10" s="5" t="s">
        <v>7</v>
      </c>
      <c r="J10" s="6">
        <f>SUM('1bezr.'!C10)</f>
        <v>1561</v>
      </c>
      <c r="K10" s="6">
        <f t="shared" si="3"/>
        <v>717</v>
      </c>
      <c r="L10" s="24">
        <f t="shared" si="2"/>
        <v>45.932094811018572</v>
      </c>
    </row>
    <row r="11" spans="2:12" x14ac:dyDescent="0.2">
      <c r="B11" s="5" t="s">
        <v>8</v>
      </c>
      <c r="C11" s="6">
        <v>1562</v>
      </c>
      <c r="D11" s="61">
        <v>1539</v>
      </c>
      <c r="E11" s="6">
        <f t="shared" si="0"/>
        <v>23</v>
      </c>
      <c r="F11" s="61">
        <v>1616</v>
      </c>
      <c r="G11" s="6">
        <f t="shared" si="1"/>
        <v>-54</v>
      </c>
      <c r="I11" s="5" t="s">
        <v>8</v>
      </c>
      <c r="J11" s="6">
        <f>SUM('1bezr.'!C11)</f>
        <v>2921</v>
      </c>
      <c r="K11" s="6">
        <f t="shared" si="3"/>
        <v>1562</v>
      </c>
      <c r="L11" s="24">
        <f t="shared" si="2"/>
        <v>53.474837384457373</v>
      </c>
    </row>
    <row r="12" spans="2:12" x14ac:dyDescent="0.2">
      <c r="B12" s="5" t="s">
        <v>9</v>
      </c>
      <c r="C12" s="6">
        <v>782</v>
      </c>
      <c r="D12" s="61">
        <v>774</v>
      </c>
      <c r="E12" s="6">
        <f t="shared" si="0"/>
        <v>8</v>
      </c>
      <c r="F12" s="61">
        <v>808</v>
      </c>
      <c r="G12" s="6">
        <f t="shared" si="1"/>
        <v>-26</v>
      </c>
      <c r="I12" s="5" t="s">
        <v>9</v>
      </c>
      <c r="J12" s="6">
        <f>SUM('1bezr.'!C12)</f>
        <v>1663</v>
      </c>
      <c r="K12" s="6">
        <f t="shared" si="3"/>
        <v>782</v>
      </c>
      <c r="L12" s="24">
        <f t="shared" si="2"/>
        <v>47.023451593505712</v>
      </c>
    </row>
    <row r="13" spans="2:12" x14ac:dyDescent="0.2">
      <c r="B13" s="5" t="s">
        <v>10</v>
      </c>
      <c r="C13" s="6">
        <v>1157</v>
      </c>
      <c r="D13" s="61">
        <v>1182</v>
      </c>
      <c r="E13" s="6">
        <f t="shared" si="0"/>
        <v>-25</v>
      </c>
      <c r="F13" s="61">
        <v>1315</v>
      </c>
      <c r="G13" s="6">
        <f t="shared" si="1"/>
        <v>-158</v>
      </c>
      <c r="I13" s="5" t="s">
        <v>10</v>
      </c>
      <c r="J13" s="6">
        <f>SUM('1bezr.'!C13)</f>
        <v>2364</v>
      </c>
      <c r="K13" s="6">
        <f t="shared" si="3"/>
        <v>1157</v>
      </c>
      <c r="L13" s="24">
        <f t="shared" si="2"/>
        <v>48.942470389170893</v>
      </c>
    </row>
    <row r="14" spans="2:12" x14ac:dyDescent="0.2">
      <c r="B14" s="5" t="s">
        <v>11</v>
      </c>
      <c r="C14" s="6">
        <v>1460</v>
      </c>
      <c r="D14" s="61">
        <v>1443</v>
      </c>
      <c r="E14" s="6">
        <f t="shared" si="0"/>
        <v>17</v>
      </c>
      <c r="F14" s="61">
        <v>1346</v>
      </c>
      <c r="G14" s="6">
        <f t="shared" si="1"/>
        <v>114</v>
      </c>
      <c r="I14" s="5" t="s">
        <v>11</v>
      </c>
      <c r="J14" s="6">
        <f>SUM('1bezr.'!C14)</f>
        <v>2921</v>
      </c>
      <c r="K14" s="6">
        <f t="shared" si="3"/>
        <v>1460</v>
      </c>
      <c r="L14" s="24">
        <f t="shared" si="2"/>
        <v>49.982882574460803</v>
      </c>
    </row>
    <row r="15" spans="2:12" x14ac:dyDescent="0.2">
      <c r="B15" s="5" t="s">
        <v>12</v>
      </c>
      <c r="C15" s="6">
        <v>1533</v>
      </c>
      <c r="D15" s="61">
        <v>1575</v>
      </c>
      <c r="E15" s="6">
        <f t="shared" si="0"/>
        <v>-42</v>
      </c>
      <c r="F15" s="61">
        <v>1605</v>
      </c>
      <c r="G15" s="6">
        <f t="shared" si="1"/>
        <v>-72</v>
      </c>
      <c r="I15" s="5" t="s">
        <v>12</v>
      </c>
      <c r="J15" s="6">
        <f>SUM('1bezr.'!C15)</f>
        <v>2943</v>
      </c>
      <c r="K15" s="6">
        <f t="shared" si="3"/>
        <v>1533</v>
      </c>
      <c r="L15" s="24">
        <f t="shared" si="2"/>
        <v>52.089704383282367</v>
      </c>
    </row>
    <row r="16" spans="2:12" x14ac:dyDescent="0.2">
      <c r="B16" s="5" t="s">
        <v>13</v>
      </c>
      <c r="C16" s="6">
        <v>1474</v>
      </c>
      <c r="D16" s="61">
        <v>1465</v>
      </c>
      <c r="E16" s="6">
        <f t="shared" si="0"/>
        <v>9</v>
      </c>
      <c r="F16" s="61">
        <v>1553</v>
      </c>
      <c r="G16" s="6">
        <f t="shared" si="1"/>
        <v>-79</v>
      </c>
      <c r="I16" s="5" t="s">
        <v>13</v>
      </c>
      <c r="J16" s="6">
        <f>SUM('1bezr.'!C16)</f>
        <v>2823</v>
      </c>
      <c r="K16" s="6">
        <f t="shared" si="3"/>
        <v>1474</v>
      </c>
      <c r="L16" s="24">
        <f t="shared" si="2"/>
        <v>52.213956783563589</v>
      </c>
    </row>
    <row r="17" spans="2:12" x14ac:dyDescent="0.2">
      <c r="B17" s="5" t="s">
        <v>14</v>
      </c>
      <c r="C17" s="6">
        <v>1791</v>
      </c>
      <c r="D17" s="61">
        <v>1764</v>
      </c>
      <c r="E17" s="6">
        <f t="shared" si="0"/>
        <v>27</v>
      </c>
      <c r="F17" s="61">
        <v>1981</v>
      </c>
      <c r="G17" s="6">
        <f t="shared" si="1"/>
        <v>-190</v>
      </c>
      <c r="I17" s="5" t="s">
        <v>14</v>
      </c>
      <c r="J17" s="6">
        <f>SUM('1bezr.'!C17)</f>
        <v>3264</v>
      </c>
      <c r="K17" s="6">
        <f t="shared" si="3"/>
        <v>1791</v>
      </c>
      <c r="L17" s="24">
        <f t="shared" si="2"/>
        <v>54.871323529411761</v>
      </c>
    </row>
    <row r="18" spans="2:12" x14ac:dyDescent="0.2">
      <c r="B18" s="5" t="s">
        <v>15</v>
      </c>
      <c r="C18" s="6">
        <v>1389</v>
      </c>
      <c r="D18" s="61">
        <v>1397</v>
      </c>
      <c r="E18" s="6">
        <f t="shared" si="0"/>
        <v>-8</v>
      </c>
      <c r="F18" s="61">
        <v>1563</v>
      </c>
      <c r="G18" s="6">
        <f t="shared" si="1"/>
        <v>-174</v>
      </c>
      <c r="I18" s="5" t="s">
        <v>15</v>
      </c>
      <c r="J18" s="6">
        <f>SUM('1bezr.'!C18)</f>
        <v>2537</v>
      </c>
      <c r="K18" s="6">
        <f t="shared" si="3"/>
        <v>1389</v>
      </c>
      <c r="L18" s="24">
        <f t="shared" si="2"/>
        <v>54.749704375246353</v>
      </c>
    </row>
    <row r="19" spans="2:12" x14ac:dyDescent="0.2">
      <c r="B19" s="5" t="s">
        <v>16</v>
      </c>
      <c r="C19" s="6">
        <v>2264</v>
      </c>
      <c r="D19" s="61">
        <v>2242</v>
      </c>
      <c r="E19" s="6">
        <f t="shared" si="0"/>
        <v>22</v>
      </c>
      <c r="F19" s="61">
        <v>2478</v>
      </c>
      <c r="G19" s="6">
        <f t="shared" si="1"/>
        <v>-214</v>
      </c>
      <c r="I19" s="5" t="s">
        <v>16</v>
      </c>
      <c r="J19" s="6">
        <f>SUM('1bezr.'!C19)</f>
        <v>4533</v>
      </c>
      <c r="K19" s="6">
        <f t="shared" si="3"/>
        <v>2264</v>
      </c>
      <c r="L19" s="24">
        <f t="shared" si="2"/>
        <v>49.944848885947493</v>
      </c>
    </row>
    <row r="20" spans="2:12" x14ac:dyDescent="0.2">
      <c r="B20" s="5" t="s">
        <v>17</v>
      </c>
      <c r="C20" s="6">
        <v>1344</v>
      </c>
      <c r="D20" s="61">
        <v>1347</v>
      </c>
      <c r="E20" s="6">
        <f t="shared" si="0"/>
        <v>-3</v>
      </c>
      <c r="F20" s="61">
        <v>1294</v>
      </c>
      <c r="G20" s="6">
        <f t="shared" si="1"/>
        <v>50</v>
      </c>
      <c r="I20" s="5" t="s">
        <v>17</v>
      </c>
      <c r="J20" s="6">
        <f>SUM('1bezr.'!C20)</f>
        <v>2680</v>
      </c>
      <c r="K20" s="6">
        <f t="shared" si="3"/>
        <v>1344</v>
      </c>
      <c r="L20" s="24">
        <f t="shared" si="2"/>
        <v>50.149253731343279</v>
      </c>
    </row>
    <row r="21" spans="2:12" x14ac:dyDescent="0.2">
      <c r="B21" s="5" t="s">
        <v>18</v>
      </c>
      <c r="C21" s="6">
        <v>1065</v>
      </c>
      <c r="D21" s="61">
        <v>1002</v>
      </c>
      <c r="E21" s="6">
        <f t="shared" si="0"/>
        <v>63</v>
      </c>
      <c r="F21" s="61">
        <v>1035</v>
      </c>
      <c r="G21" s="6">
        <f t="shared" si="1"/>
        <v>30</v>
      </c>
      <c r="I21" s="5" t="s">
        <v>18</v>
      </c>
      <c r="J21" s="6">
        <f>SUM('1bezr.'!C21)</f>
        <v>1898</v>
      </c>
      <c r="K21" s="6">
        <f t="shared" si="3"/>
        <v>1065</v>
      </c>
      <c r="L21" s="24">
        <f t="shared" si="2"/>
        <v>56.111696522655429</v>
      </c>
    </row>
    <row r="22" spans="2:12" x14ac:dyDescent="0.2">
      <c r="B22" s="5" t="s">
        <v>19</v>
      </c>
      <c r="C22" s="6">
        <v>1516</v>
      </c>
      <c r="D22" s="61">
        <v>1565</v>
      </c>
      <c r="E22" s="6">
        <f t="shared" si="0"/>
        <v>-49</v>
      </c>
      <c r="F22" s="61">
        <v>1701</v>
      </c>
      <c r="G22" s="6">
        <f t="shared" si="1"/>
        <v>-185</v>
      </c>
      <c r="I22" s="5" t="s">
        <v>19</v>
      </c>
      <c r="J22" s="6">
        <f>SUM('1bezr.'!C22)</f>
        <v>2938</v>
      </c>
      <c r="K22" s="6">
        <f t="shared" si="3"/>
        <v>1516</v>
      </c>
      <c r="L22" s="24">
        <f t="shared" si="2"/>
        <v>51.59972770592239</v>
      </c>
    </row>
    <row r="23" spans="2:12" x14ac:dyDescent="0.2">
      <c r="B23" s="5" t="s">
        <v>20</v>
      </c>
      <c r="C23" s="6">
        <v>663</v>
      </c>
      <c r="D23" s="61">
        <v>654</v>
      </c>
      <c r="E23" s="6">
        <f t="shared" si="0"/>
        <v>9</v>
      </c>
      <c r="F23" s="61">
        <v>679</v>
      </c>
      <c r="G23" s="6">
        <f t="shared" si="1"/>
        <v>-16</v>
      </c>
      <c r="I23" s="5" t="s">
        <v>20</v>
      </c>
      <c r="J23" s="6">
        <f>SUM('1bezr.'!C23)</f>
        <v>1251</v>
      </c>
      <c r="K23" s="6">
        <f t="shared" si="3"/>
        <v>663</v>
      </c>
      <c r="L23" s="24">
        <f t="shared" si="2"/>
        <v>52.997601918465229</v>
      </c>
    </row>
    <row r="24" spans="2:12" x14ac:dyDescent="0.2">
      <c r="B24" s="5" t="s">
        <v>21</v>
      </c>
      <c r="C24" s="6">
        <v>426</v>
      </c>
      <c r="D24" s="61">
        <v>416</v>
      </c>
      <c r="E24" s="6">
        <f t="shared" si="0"/>
        <v>10</v>
      </c>
      <c r="F24" s="61">
        <v>396</v>
      </c>
      <c r="G24" s="6">
        <f t="shared" si="1"/>
        <v>30</v>
      </c>
      <c r="I24" s="5" t="s">
        <v>21</v>
      </c>
      <c r="J24" s="6">
        <f>SUM('1bezr.'!C24)</f>
        <v>765</v>
      </c>
      <c r="K24" s="6">
        <f t="shared" si="3"/>
        <v>426</v>
      </c>
      <c r="L24" s="24">
        <f t="shared" si="2"/>
        <v>55.686274509803923</v>
      </c>
    </row>
    <row r="25" spans="2:12" x14ac:dyDescent="0.2">
      <c r="B25" s="5" t="s">
        <v>22</v>
      </c>
      <c r="C25" s="6">
        <v>1151</v>
      </c>
      <c r="D25" s="61">
        <v>1171</v>
      </c>
      <c r="E25" s="6">
        <f t="shared" si="0"/>
        <v>-20</v>
      </c>
      <c r="F25" s="61">
        <v>1186</v>
      </c>
      <c r="G25" s="6">
        <f t="shared" si="1"/>
        <v>-35</v>
      </c>
      <c r="I25" s="5" t="s">
        <v>22</v>
      </c>
      <c r="J25" s="6">
        <f>SUM('1bezr.'!C25)</f>
        <v>2298</v>
      </c>
      <c r="K25" s="6">
        <f t="shared" si="3"/>
        <v>1151</v>
      </c>
      <c r="L25" s="24">
        <f t="shared" si="2"/>
        <v>50.087032201914703</v>
      </c>
    </row>
    <row r="26" spans="2:12" x14ac:dyDescent="0.2">
      <c r="B26" s="5" t="s">
        <v>23</v>
      </c>
      <c r="C26" s="6">
        <v>2580</v>
      </c>
      <c r="D26" s="61">
        <v>2620</v>
      </c>
      <c r="E26" s="6">
        <f t="shared" si="0"/>
        <v>-40</v>
      </c>
      <c r="F26" s="61">
        <v>2918</v>
      </c>
      <c r="G26" s="6">
        <f t="shared" si="1"/>
        <v>-338</v>
      </c>
      <c r="I26" s="5" t="s">
        <v>23</v>
      </c>
      <c r="J26" s="6">
        <f>SUM('1bezr.'!C26)</f>
        <v>5011</v>
      </c>
      <c r="K26" s="6">
        <f t="shared" si="3"/>
        <v>2580</v>
      </c>
      <c r="L26" s="24">
        <f t="shared" si="2"/>
        <v>51.486729195769307</v>
      </c>
    </row>
    <row r="27" spans="2:12" x14ac:dyDescent="0.2">
      <c r="B27" s="5" t="s">
        <v>24</v>
      </c>
      <c r="C27" s="6">
        <v>552</v>
      </c>
      <c r="D27" s="61">
        <v>533</v>
      </c>
      <c r="E27" s="6">
        <f>SUM(C27)-D27</f>
        <v>19</v>
      </c>
      <c r="F27" s="61">
        <v>564</v>
      </c>
      <c r="G27" s="6">
        <f>SUM(C27)-F27</f>
        <v>-12</v>
      </c>
      <c r="I27" s="5" t="s">
        <v>24</v>
      </c>
      <c r="J27" s="6">
        <f>SUM('1bezr.'!C27)</f>
        <v>1065</v>
      </c>
      <c r="K27" s="6">
        <f t="shared" si="3"/>
        <v>552</v>
      </c>
      <c r="L27" s="24">
        <f t="shared" si="2"/>
        <v>51.830985915492953</v>
      </c>
    </row>
    <row r="28" spans="2:12" ht="15" x14ac:dyDescent="0.25">
      <c r="B28" s="58" t="s">
        <v>25</v>
      </c>
      <c r="C28" s="59">
        <f>SUM(C3:C27)</f>
        <v>34067</v>
      </c>
      <c r="D28" s="60">
        <f>SUM(D3:D27)</f>
        <v>34036</v>
      </c>
      <c r="E28" s="59">
        <f>SUM(E3:E27)</f>
        <v>31</v>
      </c>
      <c r="F28" s="60">
        <f>SUM(F3:F27)</f>
        <v>36056</v>
      </c>
      <c r="G28" s="59">
        <f>SUM(G3:G27)</f>
        <v>-1989</v>
      </c>
      <c r="I28" s="58" t="s">
        <v>25</v>
      </c>
      <c r="J28" s="59">
        <f>SUM(J3:J27)</f>
        <v>64968</v>
      </c>
      <c r="K28" s="59">
        <f>SUM(K3:K27)</f>
        <v>34067</v>
      </c>
      <c r="L28" s="64">
        <f t="shared" si="2"/>
        <v>52.436584164511757</v>
      </c>
    </row>
    <row r="29" spans="2:12" x14ac:dyDescent="0.2">
      <c r="E29" s="19"/>
    </row>
  </sheetData>
  <printOptions horizontalCentered="1" verticalCentered="1"/>
  <pageMargins left="0" right="0" top="0.31496062992125984" bottom="0" header="0" footer="0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7109375" style="3" customWidth="1"/>
    <col min="2" max="2" width="6.5703125" style="3" customWidth="1"/>
    <col min="3" max="3" width="24.85546875" style="3" customWidth="1"/>
    <col min="4" max="4" width="15.28515625" style="3" customWidth="1"/>
    <col min="5" max="5" width="14.85546875" style="3" customWidth="1"/>
    <col min="6" max="6" width="16.5703125" style="3" customWidth="1"/>
    <col min="7" max="7" width="14.5703125" style="3" customWidth="1"/>
    <col min="8" max="8" width="17.140625" style="3" customWidth="1"/>
    <col min="9" max="9" width="5.85546875" style="3" customWidth="1"/>
    <col min="10" max="16384" width="9.140625" style="3"/>
  </cols>
  <sheetData>
    <row r="1" spans="2:8" x14ac:dyDescent="0.2">
      <c r="B1" s="2" t="s">
        <v>79</v>
      </c>
    </row>
    <row r="2" spans="2:8" ht="15" x14ac:dyDescent="0.2">
      <c r="C2" s="20"/>
      <c r="D2" s="21"/>
    </row>
    <row r="3" spans="2:8" ht="57" x14ac:dyDescent="0.2">
      <c r="B3" s="62" t="s">
        <v>86</v>
      </c>
      <c r="C3" s="55" t="str">
        <f>T('2kob.'!B2)</f>
        <v>powiaty</v>
      </c>
      <c r="D3" s="55" t="str">
        <f>T('2kob.'!C2)</f>
        <v>liczba bezrobotnych kobiet stan na 31 X '23 r.</v>
      </c>
      <c r="E3" s="55" t="str">
        <f>T('2kob.'!D2)</f>
        <v>liczba bezrobotnych kobiet stan na 30 IX '23 r.</v>
      </c>
      <c r="F3" s="55" t="str">
        <f>T('2kob.'!E2)</f>
        <v>wzrost/spadek do poprzedniego  miesiąca</v>
      </c>
      <c r="G3" s="55" t="str">
        <f>T('2kob.'!F2)</f>
        <v>liczba bezrobotnych kobiet stan na 31 X '22 r.</v>
      </c>
      <c r="H3" s="55" t="str">
        <f>T('2kob.'!G2)</f>
        <v>wzrost/spadek do analogicznego okresu ubr.</v>
      </c>
    </row>
    <row r="4" spans="2:8" x14ac:dyDescent="0.2">
      <c r="B4" s="6">
        <f>RANK('2kob.'!C3,'2kob.'!$C$3:'2kob.'!$C$28,1)+COUNTIF('2kob.'!$C$3:'2kob.'!C3,'2kob.'!C3)-1</f>
        <v>2</v>
      </c>
      <c r="C4" s="5" t="str">
        <f>INDEX('2kob.'!B3:G28,MATCH(1,B4:B29,0),1)</f>
        <v>Krosno</v>
      </c>
      <c r="D4" s="25">
        <f>INDEX('2kob.'!B3:G28,MATCH(1,B4:B29,0),2)</f>
        <v>426</v>
      </c>
      <c r="E4" s="61">
        <f>INDEX('2kob.'!B3:G28,MATCH(1,B4:B29,0),3)</f>
        <v>416</v>
      </c>
      <c r="F4" s="6">
        <f>INDEX('2kob.'!B3:G28,MATCH(1,B4:B29,0),4)</f>
        <v>10</v>
      </c>
      <c r="G4" s="61">
        <f>INDEX('2kob.'!B3:G28,MATCH(1,B4:B29,0),5)</f>
        <v>396</v>
      </c>
      <c r="H4" s="6">
        <f>INDEX('2kob.'!B3:G28,MATCH(1,B4:B29,0),6)</f>
        <v>30</v>
      </c>
    </row>
    <row r="5" spans="2:8" x14ac:dyDescent="0.2">
      <c r="B5" s="6">
        <f>RANK('2kob.'!C4,'2kob.'!$C$3:'2kob.'!$C$28,1)+COUNTIF('2kob.'!$C$3:'2kob.'!C4,'2kob.'!C4)-1</f>
        <v>21</v>
      </c>
      <c r="C5" s="5" t="str">
        <f>INDEX('2kob.'!B3:G28,MATCH(2,B4:B29,0),1)</f>
        <v>bieszczadzki</v>
      </c>
      <c r="D5" s="6">
        <f>INDEX('2kob.'!B3:G28,MATCH(2,B4:B29,0),2)</f>
        <v>495</v>
      </c>
      <c r="E5" s="61">
        <f>INDEX('2kob.'!B3:G28,MATCH(2,B4:B29,0),3)</f>
        <v>488</v>
      </c>
      <c r="F5" s="6">
        <f>INDEX('2kob.'!B3:G28,MATCH(2,B4:B29,0),4)</f>
        <v>7</v>
      </c>
      <c r="G5" s="61">
        <f>INDEX('2kob.'!B3:G28,MATCH(2,B4:B29,0),5)</f>
        <v>519</v>
      </c>
      <c r="H5" s="6">
        <f>INDEX('2kob.'!B3:G28,MATCH(2,B4:B29,0),6)</f>
        <v>-24</v>
      </c>
    </row>
    <row r="6" spans="2:8" x14ac:dyDescent="0.2">
      <c r="B6" s="6">
        <f>RANK('2kob.'!C5,'2kob.'!$C$3:'2kob.'!$C$28,1)+COUNTIF('2kob.'!$C$3:'2kob.'!C5,'2kob.'!C5)-1</f>
        <v>14</v>
      </c>
      <c r="C6" s="5" t="str">
        <f>INDEX('2kob.'!B3:G28,MATCH(3,B4:B29,0),1)</f>
        <v>Tarnobrzeg</v>
      </c>
      <c r="D6" s="6">
        <f>INDEX('2kob.'!B3:G28,MATCH(3,B4:B29,0),2)</f>
        <v>552</v>
      </c>
      <c r="E6" s="61">
        <f>INDEX('2kob.'!B3:G28,MATCH(3,B4:B29,0),3)</f>
        <v>533</v>
      </c>
      <c r="F6" s="6">
        <f>INDEX('2kob.'!B3:G28,MATCH(3,B4:B29,0),4)</f>
        <v>19</v>
      </c>
      <c r="G6" s="61">
        <f>INDEX('2kob.'!B3:G28,MATCH(3,B4:B29,0),5)</f>
        <v>564</v>
      </c>
      <c r="H6" s="6">
        <f>INDEX('2kob.'!B3:G28,MATCH(3,B4:B29,0),6)</f>
        <v>-12</v>
      </c>
    </row>
    <row r="7" spans="2:8" x14ac:dyDescent="0.2">
      <c r="B7" s="6">
        <f>RANK('2kob.'!C6,'2kob.'!$C$3:'2kob.'!$C$28,1)+COUNTIF('2kob.'!$C$3:'2kob.'!C6,'2kob.'!C6)-1</f>
        <v>22</v>
      </c>
      <c r="C7" s="5" t="str">
        <f>INDEX('2kob.'!B3:G28,MATCH(4,B4:B29,0),1)</f>
        <v xml:space="preserve">tarnobrzeski </v>
      </c>
      <c r="D7" s="6">
        <f>INDEX('2kob.'!B3:G28,MATCH(4,B4:B29,0),2)</f>
        <v>663</v>
      </c>
      <c r="E7" s="61">
        <f>INDEX('2kob.'!B3:G28,MATCH(4,B4:B29,0),3)</f>
        <v>654</v>
      </c>
      <c r="F7" s="6">
        <f>INDEX('2kob.'!B3:G28,MATCH(4,B4:B29,0),4)</f>
        <v>9</v>
      </c>
      <c r="G7" s="61">
        <f>INDEX('2kob.'!B3:G28,MATCH(4,B4:B29,0),5)</f>
        <v>679</v>
      </c>
      <c r="H7" s="6">
        <f>INDEX('2kob.'!B3:G28,MATCH(4,B4:B29,0),6)</f>
        <v>-16</v>
      </c>
    </row>
    <row r="8" spans="2:8" x14ac:dyDescent="0.2">
      <c r="B8" s="6">
        <f>RANK('2kob.'!C7,'2kob.'!$C$3:'2kob.'!$C$28,1)+COUNTIF('2kob.'!$C$3:'2kob.'!C7,'2kob.'!C7)-1</f>
        <v>25</v>
      </c>
      <c r="C8" s="5" t="str">
        <f>INDEX('2kob.'!B3:G28,MATCH(5,B4:B29,0),1)</f>
        <v>leski</v>
      </c>
      <c r="D8" s="6">
        <f>INDEX('2kob.'!B3:G28,MATCH(5,B4:B29,0),2)</f>
        <v>717</v>
      </c>
      <c r="E8" s="61">
        <f>INDEX('2kob.'!B3:G28,MATCH(5,B4:B29,0),3)</f>
        <v>697</v>
      </c>
      <c r="F8" s="6">
        <f>INDEX('2kob.'!B3:G28,MATCH(5,B4:B29,0),4)</f>
        <v>20</v>
      </c>
      <c r="G8" s="61">
        <f>INDEX('2kob.'!B3:G28,MATCH(5,B4:B29,0),5)</f>
        <v>767</v>
      </c>
      <c r="H8" s="6">
        <f>INDEX('2kob.'!B3:G28,MATCH(5,B4:B29,0),6)</f>
        <v>-50</v>
      </c>
    </row>
    <row r="9" spans="2:8" x14ac:dyDescent="0.2">
      <c r="B9" s="6">
        <f>RANK('2kob.'!C8,'2kob.'!$C$3:'2kob.'!$C$28,1)+COUNTIF('2kob.'!$C$3:'2kob.'!C8,'2kob.'!C8)-1</f>
        <v>6</v>
      </c>
      <c r="C9" s="5" t="str">
        <f>INDEX('2kob.'!B3:G28,MATCH(6,B4:B29,0),1)</f>
        <v>kolbuszowski</v>
      </c>
      <c r="D9" s="6">
        <f>INDEX('2kob.'!B3:G28,MATCH(6,B4:B29,0),2)</f>
        <v>724</v>
      </c>
      <c r="E9" s="61">
        <f>INDEX('2kob.'!B3:G28,MATCH(6,B4:B29,0),3)</f>
        <v>741</v>
      </c>
      <c r="F9" s="6">
        <f>INDEX('2kob.'!B3:G28,MATCH(6,B4:B29,0),4)</f>
        <v>-17</v>
      </c>
      <c r="G9" s="61">
        <f>INDEX('2kob.'!B3:G28,MATCH(6,B4:B29,0),5)</f>
        <v>797</v>
      </c>
      <c r="H9" s="6">
        <f>INDEX('2kob.'!B3:G28,MATCH(6,B4:B29,0),6)</f>
        <v>-73</v>
      </c>
    </row>
    <row r="10" spans="2:8" x14ac:dyDescent="0.2">
      <c r="B10" s="6">
        <f>RANK('2kob.'!C9,'2kob.'!$C$3:'2kob.'!$C$28,1)+COUNTIF('2kob.'!$C$3:'2kob.'!C9,'2kob.'!C9)-1</f>
        <v>11</v>
      </c>
      <c r="C10" s="9" t="str">
        <f>INDEX('2kob.'!B3:G28,MATCH(7,B4:B29,0),1)</f>
        <v>lubaczowski</v>
      </c>
      <c r="D10" s="6">
        <f>INDEX('2kob.'!B3:G28,MATCH(7,B4:B29,0),2)</f>
        <v>782</v>
      </c>
      <c r="E10" s="61">
        <f>INDEX('2kob.'!B3:G28,MATCH(7,B4:B29,0),3)</f>
        <v>774</v>
      </c>
      <c r="F10" s="6">
        <f>INDEX('2kob.'!B3:G28,MATCH(7,B4:B29,0),4)</f>
        <v>8</v>
      </c>
      <c r="G10" s="61">
        <f>INDEX('2kob.'!B3:G28,MATCH(7,B4:B29,0),5)</f>
        <v>808</v>
      </c>
      <c r="H10" s="6">
        <f>INDEX('2kob.'!B3:G28,MATCH(7,B4:B29,0),6)</f>
        <v>-26</v>
      </c>
    </row>
    <row r="11" spans="2:8" x14ac:dyDescent="0.2">
      <c r="B11" s="6">
        <f>RANK('2kob.'!C10,'2kob.'!$C$3:'2kob.'!$C$28,1)+COUNTIF('2kob.'!$C$3:'2kob.'!C10,'2kob.'!C10)-1</f>
        <v>5</v>
      </c>
      <c r="C11" s="5" t="str">
        <f>INDEX('2kob.'!B3:G28,MATCH(8,B4:B29,0),1)</f>
        <v>stalowowolski</v>
      </c>
      <c r="D11" s="6">
        <f>INDEX('2kob.'!B3:G28,MATCH(8,B4:B29,0),2)</f>
        <v>1065</v>
      </c>
      <c r="E11" s="61">
        <f>INDEX('2kob.'!B3:G28,MATCH(8,B4:B29,0),3)</f>
        <v>1002</v>
      </c>
      <c r="F11" s="6">
        <f>INDEX('2kob.'!B3:G28,MATCH(8,B4:B29,0),4)</f>
        <v>63</v>
      </c>
      <c r="G11" s="61">
        <f>INDEX('2kob.'!B3:G28,MATCH(8,B4:B29,0),5)</f>
        <v>1035</v>
      </c>
      <c r="H11" s="6">
        <f>INDEX('2kob.'!B3:G28,MATCH(8,B4:B29,0),6)</f>
        <v>30</v>
      </c>
    </row>
    <row r="12" spans="2:8" x14ac:dyDescent="0.2">
      <c r="B12" s="6">
        <f>RANK('2kob.'!C11,'2kob.'!$C$3:'2kob.'!$C$28,1)+COUNTIF('2kob.'!$C$3:'2kob.'!C11,'2kob.'!C11)-1</f>
        <v>19</v>
      </c>
      <c r="C12" s="5" t="str">
        <f>INDEX('2kob.'!B3:G28,MATCH(9,B4:B29,0),1)</f>
        <v>Przemyśl</v>
      </c>
      <c r="D12" s="6">
        <f>INDEX('2kob.'!B3:G28,MATCH(9,B4:B29,0),2)</f>
        <v>1151</v>
      </c>
      <c r="E12" s="61">
        <f>INDEX('2kob.'!B3:G28,MATCH(9,B4:B29,0),3)</f>
        <v>1171</v>
      </c>
      <c r="F12" s="6">
        <f>INDEX('2kob.'!B3:G28,MATCH(9,B4:B29,0),4)</f>
        <v>-20</v>
      </c>
      <c r="G12" s="61">
        <f>INDEX('2kob.'!B3:G28,MATCH(9,B4:B29,0),5)</f>
        <v>1186</v>
      </c>
      <c r="H12" s="6">
        <f>INDEX('2kob.'!B3:G28,MATCH(9,B4:B29,0),6)</f>
        <v>-35</v>
      </c>
    </row>
    <row r="13" spans="2:8" x14ac:dyDescent="0.2">
      <c r="B13" s="6">
        <f>RANK('2kob.'!C12,'2kob.'!$C$3:'2kob.'!$C$28,1)+COUNTIF('2kob.'!$C$3:'2kob.'!C12,'2kob.'!C12)-1</f>
        <v>7</v>
      </c>
      <c r="C13" s="5" t="str">
        <f>INDEX('2kob.'!B3:G28,MATCH(10,B4:B29,0),1)</f>
        <v>łańcucki</v>
      </c>
      <c r="D13" s="6">
        <f>INDEX('2kob.'!B3:G28,MATCH(10,B4:B29,0),2)</f>
        <v>1157</v>
      </c>
      <c r="E13" s="61">
        <f>INDEX('2kob.'!B3:G28,MATCH(10,B4:B29,0),3)</f>
        <v>1182</v>
      </c>
      <c r="F13" s="6">
        <f>INDEX('2kob.'!B3:G28,MATCH(10,B4:B29,0),4)</f>
        <v>-25</v>
      </c>
      <c r="G13" s="61">
        <f>INDEX('2kob.'!B3:G28,MATCH(10,B4:B29,0),5)</f>
        <v>1315</v>
      </c>
      <c r="H13" s="6">
        <f>INDEX('2kob.'!B3:G28,MATCH(10,B4:B29,0),6)</f>
        <v>-158</v>
      </c>
    </row>
    <row r="14" spans="2:8" x14ac:dyDescent="0.2">
      <c r="B14" s="6">
        <f>RANK('2kob.'!C13,'2kob.'!$C$3:'2kob.'!$C$28,1)+COUNTIF('2kob.'!$C$3:'2kob.'!C13,'2kob.'!C13)-1</f>
        <v>10</v>
      </c>
      <c r="C14" s="5" t="str">
        <f>INDEX('2kob.'!B3:G28,MATCH(11,B4:B29,0),1)</f>
        <v>krośnieński</v>
      </c>
      <c r="D14" s="6">
        <f>INDEX('2kob.'!B3:G28,MATCH(11,B4:B29,0),2)</f>
        <v>1164</v>
      </c>
      <c r="E14" s="61">
        <f>INDEX('2kob.'!B3:G28,MATCH(11,B4:B29,0),3)</f>
        <v>1136</v>
      </c>
      <c r="F14" s="6">
        <f>INDEX('2kob.'!B3:G28,MATCH(11,B4:B29,0),4)</f>
        <v>28</v>
      </c>
      <c r="G14" s="61">
        <f>INDEX('2kob.'!B3:G28,MATCH(11,B4:B29,0),5)</f>
        <v>1038</v>
      </c>
      <c r="H14" s="6">
        <f>INDEX('2kob.'!B3:G28,MATCH(11,B4:B29,0),6)</f>
        <v>126</v>
      </c>
    </row>
    <row r="15" spans="2:8" x14ac:dyDescent="0.2">
      <c r="B15" s="6">
        <f>RANK('2kob.'!C14,'2kob.'!$C$3:'2kob.'!$C$28,1)+COUNTIF('2kob.'!$C$3:'2kob.'!C14,'2kob.'!C14)-1</f>
        <v>15</v>
      </c>
      <c r="C15" s="5" t="str">
        <f>INDEX('2kob.'!B3:G28,MATCH(12,B4:B29,0),1)</f>
        <v>sanocki</v>
      </c>
      <c r="D15" s="6">
        <f>INDEX('2kob.'!B3:G28,MATCH(12,B4:B29,0),2)</f>
        <v>1344</v>
      </c>
      <c r="E15" s="61">
        <f>INDEX('2kob.'!B3:G28,MATCH(12,B4:B29,0),3)</f>
        <v>1347</v>
      </c>
      <c r="F15" s="6">
        <f>INDEX('2kob.'!B3:G28,MATCH(12,B4:B29,0),4)</f>
        <v>-3</v>
      </c>
      <c r="G15" s="61">
        <f>INDEX('2kob.'!B3:G28,MATCH(12,B4:B29,0),5)</f>
        <v>1294</v>
      </c>
      <c r="H15" s="6">
        <f>INDEX('2kob.'!B3:G28,MATCH(12,B4:B29,0),6)</f>
        <v>50</v>
      </c>
    </row>
    <row r="16" spans="2:8" x14ac:dyDescent="0.2">
      <c r="B16" s="6">
        <f>RANK('2kob.'!C15,'2kob.'!$C$3:'2kob.'!$C$28,1)+COUNTIF('2kob.'!$C$3:'2kob.'!C15,'2kob.'!C15)-1</f>
        <v>18</v>
      </c>
      <c r="C16" s="5" t="str">
        <f>INDEX('2kob.'!B3:G28,MATCH(13,B4:B29,0),1)</f>
        <v>ropczycko-sędziszowski</v>
      </c>
      <c r="D16" s="6">
        <f>INDEX('2kob.'!B3:G28,MATCH(13,B4:B29,0),2)</f>
        <v>1389</v>
      </c>
      <c r="E16" s="61">
        <f>INDEX('2kob.'!B3:G28,MATCH(13,B4:B29,0),3)</f>
        <v>1397</v>
      </c>
      <c r="F16" s="6">
        <f>INDEX('2kob.'!B3:G28,MATCH(13,B4:B29,0),4)</f>
        <v>-8</v>
      </c>
      <c r="G16" s="61">
        <f>INDEX('2kob.'!B3:G28,MATCH(13,B4:B29,0),5)</f>
        <v>1563</v>
      </c>
      <c r="H16" s="6">
        <f>INDEX('2kob.'!B3:G28,MATCH(13,B4:B29,0),6)</f>
        <v>-174</v>
      </c>
    </row>
    <row r="17" spans="2:8" x14ac:dyDescent="0.2">
      <c r="B17" s="6">
        <f>RANK('2kob.'!C16,'2kob.'!$C$3:'2kob.'!$C$28,1)+COUNTIF('2kob.'!$C$3:'2kob.'!C16,'2kob.'!C16)-1</f>
        <v>16</v>
      </c>
      <c r="C17" s="5" t="str">
        <f>INDEX('2kob.'!B3:G28,MATCH(14,B4:B29,0),1)</f>
        <v>dębicki</v>
      </c>
      <c r="D17" s="6">
        <f>INDEX('2kob.'!B3:G28,MATCH(14,B4:B29,0),2)</f>
        <v>1396</v>
      </c>
      <c r="E17" s="61">
        <f>INDEX('2kob.'!B3:G28,MATCH(14,B4:B29,0),3)</f>
        <v>1425</v>
      </c>
      <c r="F17" s="6">
        <f>INDEX('2kob.'!B3:G28,MATCH(14,B4:B29,0),4)</f>
        <v>-29</v>
      </c>
      <c r="G17" s="61">
        <f>INDEX('2kob.'!B3:G28,MATCH(14,B4:B29,0),5)</f>
        <v>1518</v>
      </c>
      <c r="H17" s="6">
        <f>INDEX('2kob.'!B3:G28,MATCH(14,B4:B29,0),6)</f>
        <v>-122</v>
      </c>
    </row>
    <row r="18" spans="2:8" x14ac:dyDescent="0.2">
      <c r="B18" s="6">
        <f>RANK('2kob.'!C17,'2kob.'!$C$3:'2kob.'!$C$28,1)+COUNTIF('2kob.'!$C$3:'2kob.'!C17,'2kob.'!C17)-1</f>
        <v>20</v>
      </c>
      <c r="C18" s="5" t="str">
        <f>INDEX('2kob.'!B3:G28,MATCH(15,B4:B29,0),1)</f>
        <v>mielecki</v>
      </c>
      <c r="D18" s="6">
        <f>INDEX('2kob.'!B3:G28,MATCH(15,B4:B29,0),2)</f>
        <v>1460</v>
      </c>
      <c r="E18" s="61">
        <f>INDEX('2kob.'!B3:G28,MATCH(15,B4:B29,0),3)</f>
        <v>1443</v>
      </c>
      <c r="F18" s="6">
        <f>INDEX('2kob.'!B3:G28,MATCH(15,B4:B29,0),4)</f>
        <v>17</v>
      </c>
      <c r="G18" s="61">
        <f>INDEX('2kob.'!B3:G28,MATCH(15,B4:B29,0),5)</f>
        <v>1346</v>
      </c>
      <c r="H18" s="6">
        <f>INDEX('2kob.'!B3:G28,MATCH(15,B4:B29,0),6)</f>
        <v>114</v>
      </c>
    </row>
    <row r="19" spans="2:8" x14ac:dyDescent="0.2">
      <c r="B19" s="6">
        <f>RANK('2kob.'!C18,'2kob.'!$C$3:'2kob.'!$C$28,1)+COUNTIF('2kob.'!$C$3:'2kob.'!C18,'2kob.'!C18)-1</f>
        <v>13</v>
      </c>
      <c r="C19" s="5" t="str">
        <f>INDEX('2kob.'!B3:G28,MATCH(16,B4:B29,0),1)</f>
        <v>przemyski</v>
      </c>
      <c r="D19" s="6">
        <f>INDEX('2kob.'!B3:G28,MATCH(16,B4:B29,0),2)</f>
        <v>1474</v>
      </c>
      <c r="E19" s="61">
        <f>INDEX('2kob.'!B3:G28,MATCH(16,B4:B29,0),3)</f>
        <v>1465</v>
      </c>
      <c r="F19" s="6">
        <f>INDEX('2kob.'!B3:G28,MATCH(16,B4:B29,0),4)</f>
        <v>9</v>
      </c>
      <c r="G19" s="61">
        <f>INDEX('2kob.'!B3:G28,MATCH(16,B4:B29,0),5)</f>
        <v>1553</v>
      </c>
      <c r="H19" s="6">
        <f>INDEX('2kob.'!B3:G28,MATCH(16,B4:B29,0),6)</f>
        <v>-79</v>
      </c>
    </row>
    <row r="20" spans="2:8" x14ac:dyDescent="0.2">
      <c r="B20" s="6">
        <f>RANK('2kob.'!C19,'2kob.'!$C$3:'2kob.'!$C$28,1)+COUNTIF('2kob.'!$C$3:'2kob.'!C19,'2kob.'!C19)-1</f>
        <v>23</v>
      </c>
      <c r="C20" s="5" t="str">
        <f>INDEX('2kob.'!B3:G28,MATCH(17,B4:B29,0),1)</f>
        <v>strzyżowski</v>
      </c>
      <c r="D20" s="6">
        <f>INDEX('2kob.'!B3:G28,MATCH(17,B4:B29,0),2)</f>
        <v>1516</v>
      </c>
      <c r="E20" s="61">
        <f>INDEX('2kob.'!B3:G28,MATCH(17,B4:B29,0),3)</f>
        <v>1565</v>
      </c>
      <c r="F20" s="6">
        <f>INDEX('2kob.'!B3:G28,MATCH(17,B4:B29,0),4)</f>
        <v>-49</v>
      </c>
      <c r="G20" s="61">
        <f>INDEX('2kob.'!B3:G28,MATCH(17,B4:B29,0),5)</f>
        <v>1701</v>
      </c>
      <c r="H20" s="6">
        <f>INDEX('2kob.'!B3:G28,MATCH(17,B4:B29,0),6)</f>
        <v>-185</v>
      </c>
    </row>
    <row r="21" spans="2:8" x14ac:dyDescent="0.2">
      <c r="B21" s="6">
        <f>RANK('2kob.'!C20,'2kob.'!$C$3:'2kob.'!$C$28,1)+COUNTIF('2kob.'!$C$3:'2kob.'!C20,'2kob.'!C20)-1</f>
        <v>12</v>
      </c>
      <c r="C21" s="5" t="str">
        <f>INDEX('2kob.'!B3:G28,MATCH(18,B4:B29,0),1)</f>
        <v>niżański</v>
      </c>
      <c r="D21" s="6">
        <f>INDEX('2kob.'!B3:G28,MATCH(18,B4:B29,0),2)</f>
        <v>1533</v>
      </c>
      <c r="E21" s="61">
        <f>INDEX('2kob.'!B3:G28,MATCH(18,B4:B29,0),3)</f>
        <v>1575</v>
      </c>
      <c r="F21" s="6">
        <f>INDEX('2kob.'!B3:G28,MATCH(18,B4:B29,0),4)</f>
        <v>-42</v>
      </c>
      <c r="G21" s="61">
        <f>INDEX('2kob.'!B3:G28,MATCH(18,B4:B29,0),5)</f>
        <v>1605</v>
      </c>
      <c r="H21" s="6">
        <f>INDEX('2kob.'!B3:G28,MATCH(18,B4:B29,0),6)</f>
        <v>-72</v>
      </c>
    </row>
    <row r="22" spans="2:8" x14ac:dyDescent="0.2">
      <c r="B22" s="6">
        <f>RANK('2kob.'!C21,'2kob.'!$C$3:'2kob.'!$C$28,1)+COUNTIF('2kob.'!$C$3:'2kob.'!C21,'2kob.'!C21)-1</f>
        <v>8</v>
      </c>
      <c r="C22" s="5" t="str">
        <f>INDEX('2kob.'!B3:G28,MATCH(19,B4:B29,0),1)</f>
        <v>leżajski</v>
      </c>
      <c r="D22" s="6">
        <f>INDEX('2kob.'!B3:G28,MATCH(19,B4:B29,0),2)</f>
        <v>1562</v>
      </c>
      <c r="E22" s="61">
        <f>INDEX('2kob.'!B3:G28,MATCH(19,B4:B29,0),3)</f>
        <v>1539</v>
      </c>
      <c r="F22" s="6">
        <f>INDEX('2kob.'!B3:G28,MATCH(19,B4:B29,0),4)</f>
        <v>23</v>
      </c>
      <c r="G22" s="61">
        <f>INDEX('2kob.'!B3:G28,MATCH(19,B4:B29,0),5)</f>
        <v>1616</v>
      </c>
      <c r="H22" s="6">
        <f>INDEX('2kob.'!B3:G28,MATCH(19,B4:B29,0),6)</f>
        <v>-54</v>
      </c>
    </row>
    <row r="23" spans="2:8" x14ac:dyDescent="0.2">
      <c r="B23" s="6">
        <f>RANK('2kob.'!C22,'2kob.'!$C$3:'2kob.'!$C$28,1)+COUNTIF('2kob.'!$C$3:'2kob.'!C22,'2kob.'!C22)-1</f>
        <v>17</v>
      </c>
      <c r="C23" s="5" t="str">
        <f>INDEX('2kob.'!B3:G28,MATCH(20,B4:B29,0),1)</f>
        <v>przeworski</v>
      </c>
      <c r="D23" s="6">
        <f>INDEX('2kob.'!B3:G28,MATCH(20,B4:B29,0),2)</f>
        <v>1791</v>
      </c>
      <c r="E23" s="61">
        <f>INDEX('2kob.'!B3:G28,MATCH(20,B4:B29,0),3)</f>
        <v>1764</v>
      </c>
      <c r="F23" s="6">
        <f>INDEX('2kob.'!B3:G28,MATCH(20,B4:B29,0),4)</f>
        <v>27</v>
      </c>
      <c r="G23" s="61">
        <f>INDEX('2kob.'!B3:G28,MATCH(20,B4:B29,0),5)</f>
        <v>1981</v>
      </c>
      <c r="H23" s="6">
        <f>INDEX('2kob.'!B3:G28,MATCH(20,B4:B29,0),6)</f>
        <v>-190</v>
      </c>
    </row>
    <row r="24" spans="2:8" x14ac:dyDescent="0.2">
      <c r="B24" s="6">
        <f>RANK('2kob.'!C23,'2kob.'!$C$3:'2kob.'!$C$28,1)+COUNTIF('2kob.'!$C$3:'2kob.'!C23,'2kob.'!C23)-1</f>
        <v>4</v>
      </c>
      <c r="C24" s="5" t="str">
        <f>INDEX('2kob.'!B3:G28,MATCH(21,B4:B29,0),1)</f>
        <v>brzozowski</v>
      </c>
      <c r="D24" s="6">
        <f>INDEX('2kob.'!B3:G28,MATCH(21,B4:B29,0),2)</f>
        <v>1866</v>
      </c>
      <c r="E24" s="61">
        <f>INDEX('2kob.'!B3:G28,MATCH(21,B4:B29,0),3)</f>
        <v>1865</v>
      </c>
      <c r="F24" s="6">
        <f>INDEX('2kob.'!B3:G28,MATCH(21,B4:B29,0),4)</f>
        <v>1</v>
      </c>
      <c r="G24" s="61">
        <f>INDEX('2kob.'!B3:G28,MATCH(21,B4:B29,0),5)</f>
        <v>2050</v>
      </c>
      <c r="H24" s="6">
        <f>INDEX('2kob.'!B3:G28,MATCH(21,B4:B29,0),6)</f>
        <v>-184</v>
      </c>
    </row>
    <row r="25" spans="2:8" x14ac:dyDescent="0.2">
      <c r="B25" s="6">
        <f>RANK('2kob.'!C24,'2kob.'!$C$3:'2kob.'!$C$28,1)+COUNTIF('2kob.'!$C$3:'2kob.'!C24,'2kob.'!C24)-1</f>
        <v>1</v>
      </c>
      <c r="C25" s="5" t="str">
        <f>INDEX('2kob.'!B3:G28,MATCH(22,B4:B29,0),1)</f>
        <v>jarosławski</v>
      </c>
      <c r="D25" s="6">
        <f>INDEX('2kob.'!B3:G28,MATCH(22,B4:B29,0),2)</f>
        <v>2201</v>
      </c>
      <c r="E25" s="61">
        <f>INDEX('2kob.'!B3:G28,MATCH(22,B4:B29,0),3)</f>
        <v>2236</v>
      </c>
      <c r="F25" s="6">
        <f>INDEX('2kob.'!B3:G28,MATCH(22,B4:B29,0),4)</f>
        <v>-35</v>
      </c>
      <c r="G25" s="61">
        <f>INDEX('2kob.'!B3:G28,MATCH(22,B4:B29,0),5)</f>
        <v>2491</v>
      </c>
      <c r="H25" s="6">
        <f>INDEX('2kob.'!B3:G28,MATCH(22,B4:B29,0),6)</f>
        <v>-290</v>
      </c>
    </row>
    <row r="26" spans="2:8" x14ac:dyDescent="0.2">
      <c r="B26" s="6">
        <f>RANK('2kob.'!C25,'2kob.'!$C$3:'2kob.'!$C$28,1)+COUNTIF('2kob.'!$C$3:'2kob.'!C25,'2kob.'!C25)-1</f>
        <v>9</v>
      </c>
      <c r="C26" s="5" t="str">
        <f>INDEX('2kob.'!B3:G28,MATCH(23,B4:B29,0),1)</f>
        <v>rzeszowski</v>
      </c>
      <c r="D26" s="6">
        <f>INDEX('2kob.'!B3:G28,MATCH(23,B4:B29,0),2)</f>
        <v>2264</v>
      </c>
      <c r="E26" s="61">
        <f>INDEX('2kob.'!B3:G28,MATCH(23,B4:B29,0),3)</f>
        <v>2242</v>
      </c>
      <c r="F26" s="6">
        <f>INDEX('2kob.'!B3:G28,MATCH(23,B4:B29,0),4)</f>
        <v>22</v>
      </c>
      <c r="G26" s="61">
        <f>INDEX('2kob.'!B3:G28,MATCH(23,B4:B29,0),5)</f>
        <v>2478</v>
      </c>
      <c r="H26" s="6">
        <f>INDEX('2kob.'!B3:G28,MATCH(23,B4:B29,0),6)</f>
        <v>-214</v>
      </c>
    </row>
    <row r="27" spans="2:8" x14ac:dyDescent="0.2">
      <c r="B27" s="6">
        <f>RANK('2kob.'!C26,'2kob.'!$C$3:'2kob.'!$C$28,1)+COUNTIF('2kob.'!$C$3:'2kob.'!C26,'2kob.'!C26)-1</f>
        <v>24</v>
      </c>
      <c r="C27" s="5" t="str">
        <f>INDEX('2kob.'!B3:G28,MATCH(24,B4:B29,0),1)</f>
        <v>Rzeszów</v>
      </c>
      <c r="D27" s="6">
        <f>INDEX('2kob.'!B3:G28,MATCH(24,B4:B29,0),2)</f>
        <v>2580</v>
      </c>
      <c r="E27" s="61">
        <f>INDEX('2kob.'!B3:G28,MATCH(24,B4:B29,0),3)</f>
        <v>2620</v>
      </c>
      <c r="F27" s="6">
        <f>INDEX('2kob.'!B3:G28,MATCH(24,B4:B29,0),4)</f>
        <v>-40</v>
      </c>
      <c r="G27" s="61">
        <f>INDEX('2kob.'!B3:G28,MATCH(24,B4:B29,0),5)</f>
        <v>2918</v>
      </c>
      <c r="H27" s="6">
        <f>INDEX('2kob.'!B3:G28,MATCH(24,B4:B29,0),6)</f>
        <v>-338</v>
      </c>
    </row>
    <row r="28" spans="2:8" x14ac:dyDescent="0.2">
      <c r="B28" s="6">
        <f>RANK('2kob.'!C27,'2kob.'!$C$3:'2kob.'!$C$28,1)+COUNTIF('2kob.'!$C$3:'2kob.'!C27,'2kob.'!C27)-1</f>
        <v>3</v>
      </c>
      <c r="C28" s="5" t="str">
        <f>INDEX('2kob.'!B3:G28,MATCH(25,B4:B29,0),1)</f>
        <v>jasielski</v>
      </c>
      <c r="D28" s="6">
        <f>INDEX('2kob.'!B3:G28,MATCH(25,B4:B29,0),2)</f>
        <v>2795</v>
      </c>
      <c r="E28" s="61">
        <f>INDEX('2kob.'!B3:G28,MATCH(25,B4:B29,0),3)</f>
        <v>2759</v>
      </c>
      <c r="F28" s="6">
        <f>INDEX('2kob.'!B3:G28,MATCH(25,B4:B29,0),4)</f>
        <v>36</v>
      </c>
      <c r="G28" s="61">
        <f>INDEX('2kob.'!B3:G28,MATCH(25,B4:B29,0),5)</f>
        <v>2838</v>
      </c>
      <c r="H28" s="6">
        <f>INDEX('2kob.'!B3:G28,MATCH(25,B4:B29,0),6)</f>
        <v>-43</v>
      </c>
    </row>
    <row r="29" spans="2:8" ht="15" x14ac:dyDescent="0.25">
      <c r="B29" s="59">
        <f>RANK('2kob.'!C28,'2kob.'!$C$3:'2kob.'!$C$28,1)+COUNTIF('2kob.'!$C$3:'2kob.'!C28,'2kob.'!C28)-1</f>
        <v>26</v>
      </c>
      <c r="C29" s="58" t="str">
        <f>INDEX('2kob.'!B3:G28,MATCH(26,B4:B29,0),1)</f>
        <v>województwo</v>
      </c>
      <c r="D29" s="59">
        <f>INDEX('2kob.'!B3:G28,MATCH(26,B4:B29,0),2)</f>
        <v>34067</v>
      </c>
      <c r="E29" s="63">
        <f>INDEX('2kob.'!B3:G28,MATCH(26,B4:B29,0),3)</f>
        <v>34036</v>
      </c>
      <c r="F29" s="59">
        <f>INDEX('2kob.'!B3:G28,MATCH(26,B4:B29,0),4)</f>
        <v>31</v>
      </c>
      <c r="G29" s="63">
        <f>INDEX('2kob.'!B3:G28,MATCH(26,B4:B29,0),5)</f>
        <v>36056</v>
      </c>
      <c r="H29" s="59">
        <f>INDEX('2kob.'!B3:G28,MATCH(26,B4:B29,0),6)</f>
        <v>-1989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C00"/>
    <pageSetUpPr fitToPage="1"/>
  </sheetPr>
  <dimension ref="A1:I22"/>
  <sheetViews>
    <sheetView zoomScale="80" zoomScaleNormal="80" workbookViewId="0">
      <selection activeCell="B1" sqref="B1"/>
    </sheetView>
  </sheetViews>
  <sheetFormatPr defaultRowHeight="14.25" x14ac:dyDescent="0.2"/>
  <cols>
    <col min="1" max="1" width="4.42578125" style="25" customWidth="1"/>
    <col min="2" max="2" width="33.42578125" style="3" customWidth="1"/>
    <col min="3" max="3" width="21.140625" style="3" customWidth="1"/>
    <col min="4" max="4" width="19.7109375" style="3" customWidth="1"/>
    <col min="5" max="5" width="15.28515625" style="3" customWidth="1"/>
    <col min="6" max="6" width="19" style="3" customWidth="1"/>
    <col min="7" max="7" width="14.7109375" style="3" customWidth="1"/>
    <col min="8" max="8" width="9.140625" style="25"/>
    <col min="9" max="9" width="33.42578125" style="3" customWidth="1"/>
    <col min="10" max="16384" width="9.140625" style="3"/>
  </cols>
  <sheetData>
    <row r="1" spans="1:9" ht="15" customHeight="1" x14ac:dyDescent="0.2">
      <c r="B1" s="2" t="s">
        <v>87</v>
      </c>
    </row>
    <row r="2" spans="1:9" ht="71.25" x14ac:dyDescent="0.2">
      <c r="B2" s="65" t="s">
        <v>27</v>
      </c>
      <c r="C2" s="65" t="s">
        <v>126</v>
      </c>
      <c r="D2" s="66" t="s">
        <v>153</v>
      </c>
      <c r="E2" s="65" t="s">
        <v>80</v>
      </c>
      <c r="F2" s="66" t="s">
        <v>152</v>
      </c>
      <c r="G2" s="65" t="s">
        <v>117</v>
      </c>
    </row>
    <row r="3" spans="1:9" ht="15" x14ac:dyDescent="0.2">
      <c r="A3" s="25">
        <v>1</v>
      </c>
      <c r="B3" s="26" t="s">
        <v>33</v>
      </c>
      <c r="C3" s="27">
        <v>5</v>
      </c>
      <c r="D3" s="68">
        <v>5</v>
      </c>
      <c r="E3" s="27">
        <f t="shared" ref="E3:E19" si="0">SUM(C3)-D3</f>
        <v>0</v>
      </c>
      <c r="F3" s="68">
        <v>5.0999999999999996</v>
      </c>
      <c r="G3" s="27">
        <f>SUM(C3)-F3</f>
        <v>-9.9999999999999645E-2</v>
      </c>
      <c r="H3" s="28"/>
    </row>
    <row r="4" spans="1:9" ht="15" x14ac:dyDescent="0.25">
      <c r="A4" s="25">
        <v>2</v>
      </c>
      <c r="B4" s="29" t="s">
        <v>34</v>
      </c>
      <c r="C4" s="30">
        <v>4.3</v>
      </c>
      <c r="D4" s="67">
        <v>4.4000000000000004</v>
      </c>
      <c r="E4" s="30">
        <f t="shared" si="0"/>
        <v>-0.10000000000000053</v>
      </c>
      <c r="F4" s="67">
        <v>4.4000000000000004</v>
      </c>
      <c r="G4" s="30">
        <f t="shared" ref="G4:G19" si="1">SUM(C4)-F4</f>
        <v>-0.10000000000000053</v>
      </c>
      <c r="H4" s="28"/>
      <c r="I4" s="187" t="s">
        <v>34</v>
      </c>
    </row>
    <row r="5" spans="1:9" ht="15" x14ac:dyDescent="0.25">
      <c r="A5" s="25">
        <v>3</v>
      </c>
      <c r="B5" s="29" t="s">
        <v>35</v>
      </c>
      <c r="C5" s="31">
        <v>6.8</v>
      </c>
      <c r="D5" s="67">
        <v>6.9</v>
      </c>
      <c r="E5" s="31">
        <f t="shared" si="0"/>
        <v>-0.10000000000000053</v>
      </c>
      <c r="F5" s="67">
        <v>7.1</v>
      </c>
      <c r="G5" s="30">
        <f t="shared" si="1"/>
        <v>-0.29999999999999982</v>
      </c>
      <c r="H5" s="28"/>
      <c r="I5" s="188" t="s">
        <v>35</v>
      </c>
    </row>
    <row r="6" spans="1:9" ht="15" x14ac:dyDescent="0.25">
      <c r="A6" s="25">
        <v>4</v>
      </c>
      <c r="B6" s="29" t="s">
        <v>36</v>
      </c>
      <c r="C6" s="30">
        <v>7.3</v>
      </c>
      <c r="D6" s="67">
        <v>7.3</v>
      </c>
      <c r="E6" s="30">
        <f t="shared" si="0"/>
        <v>0</v>
      </c>
      <c r="F6" s="67">
        <v>7.8</v>
      </c>
      <c r="G6" s="30">
        <f t="shared" si="1"/>
        <v>-0.5</v>
      </c>
      <c r="H6" s="28"/>
      <c r="I6" s="188" t="s">
        <v>36</v>
      </c>
    </row>
    <row r="7" spans="1:9" ht="15" x14ac:dyDescent="0.25">
      <c r="A7" s="25">
        <v>5</v>
      </c>
      <c r="B7" s="29" t="s">
        <v>37</v>
      </c>
      <c r="C7" s="30">
        <v>4.3</v>
      </c>
      <c r="D7" s="67">
        <v>4.3</v>
      </c>
      <c r="E7" s="30">
        <f t="shared" si="0"/>
        <v>0</v>
      </c>
      <c r="F7" s="67">
        <v>4.2</v>
      </c>
      <c r="G7" s="30">
        <f t="shared" si="1"/>
        <v>9.9999999999999645E-2</v>
      </c>
      <c r="H7" s="28"/>
      <c r="I7" s="189" t="s">
        <v>37</v>
      </c>
    </row>
    <row r="8" spans="1:9" ht="15" x14ac:dyDescent="0.25">
      <c r="A8" s="25">
        <v>6</v>
      </c>
      <c r="B8" s="29" t="s">
        <v>38</v>
      </c>
      <c r="C8" s="30">
        <v>5.3</v>
      </c>
      <c r="D8" s="67">
        <v>5.4</v>
      </c>
      <c r="E8" s="30">
        <f t="shared" si="0"/>
        <v>-0.10000000000000053</v>
      </c>
      <c r="F8" s="67">
        <v>5.5</v>
      </c>
      <c r="G8" s="30">
        <f t="shared" si="1"/>
        <v>-0.20000000000000018</v>
      </c>
      <c r="H8" s="28"/>
      <c r="I8" s="187" t="s">
        <v>38</v>
      </c>
    </row>
    <row r="9" spans="1:9" ht="15" x14ac:dyDescent="0.25">
      <c r="A9" s="25">
        <v>7</v>
      </c>
      <c r="B9" s="29" t="s">
        <v>39</v>
      </c>
      <c r="C9" s="30">
        <v>4.0999999999999996</v>
      </c>
      <c r="D9" s="67">
        <v>4.0999999999999996</v>
      </c>
      <c r="E9" s="30">
        <f t="shared" si="0"/>
        <v>0</v>
      </c>
      <c r="F9" s="67">
        <v>4.5</v>
      </c>
      <c r="G9" s="30">
        <f t="shared" si="1"/>
        <v>-0.40000000000000036</v>
      </c>
      <c r="H9" s="28"/>
      <c r="I9" s="187" t="s">
        <v>39</v>
      </c>
    </row>
    <row r="10" spans="1:9" ht="15" x14ac:dyDescent="0.25">
      <c r="A10" s="25">
        <v>8</v>
      </c>
      <c r="B10" s="29" t="s">
        <v>40</v>
      </c>
      <c r="C10" s="30">
        <v>4.0999999999999996</v>
      </c>
      <c r="D10" s="67">
        <v>4.0999999999999996</v>
      </c>
      <c r="E10" s="30">
        <f t="shared" si="0"/>
        <v>0</v>
      </c>
      <c r="F10" s="67">
        <v>4.2</v>
      </c>
      <c r="G10" s="30">
        <f t="shared" si="1"/>
        <v>-0.10000000000000053</v>
      </c>
      <c r="H10" s="28"/>
      <c r="I10" s="187" t="s">
        <v>40</v>
      </c>
    </row>
    <row r="11" spans="1:9" ht="15" x14ac:dyDescent="0.25">
      <c r="A11" s="25">
        <v>9</v>
      </c>
      <c r="B11" s="29" t="s">
        <v>41</v>
      </c>
      <c r="C11" s="30">
        <v>5.6</v>
      </c>
      <c r="D11" s="67">
        <v>5.7</v>
      </c>
      <c r="E11" s="30">
        <f t="shared" si="0"/>
        <v>-0.10000000000000053</v>
      </c>
      <c r="F11" s="67">
        <v>6</v>
      </c>
      <c r="G11" s="30">
        <f t="shared" si="1"/>
        <v>-0.40000000000000036</v>
      </c>
      <c r="H11" s="28"/>
      <c r="I11" s="187" t="s">
        <v>41</v>
      </c>
    </row>
    <row r="12" spans="1:9" ht="15" x14ac:dyDescent="0.2">
      <c r="A12" s="25">
        <v>10</v>
      </c>
      <c r="B12" s="26" t="s">
        <v>42</v>
      </c>
      <c r="C12" s="27">
        <v>8.3000000000000007</v>
      </c>
      <c r="D12" s="68">
        <v>8.3000000000000007</v>
      </c>
      <c r="E12" s="27">
        <f t="shared" si="0"/>
        <v>0</v>
      </c>
      <c r="F12" s="68">
        <v>8.6999999999999993</v>
      </c>
      <c r="G12" s="27">
        <f>SUM(C12)-F12</f>
        <v>-0.39999999999999858</v>
      </c>
      <c r="H12" s="28"/>
      <c r="I12" s="190" t="s">
        <v>42</v>
      </c>
    </row>
    <row r="13" spans="1:9" ht="15" x14ac:dyDescent="0.25">
      <c r="A13" s="25">
        <v>11</v>
      </c>
      <c r="B13" s="29" t="s">
        <v>43</v>
      </c>
      <c r="C13" s="30">
        <v>6.8</v>
      </c>
      <c r="D13" s="67">
        <v>6.8</v>
      </c>
      <c r="E13" s="30">
        <f t="shared" si="0"/>
        <v>0</v>
      </c>
      <c r="F13" s="67">
        <v>7.1</v>
      </c>
      <c r="G13" s="30">
        <f t="shared" si="1"/>
        <v>-0.29999999999999982</v>
      </c>
      <c r="H13" s="28"/>
      <c r="I13" s="187" t="s">
        <v>43</v>
      </c>
    </row>
    <row r="14" spans="1:9" ht="15" x14ac:dyDescent="0.25">
      <c r="A14" s="25">
        <v>12</v>
      </c>
      <c r="B14" s="29" t="s">
        <v>44</v>
      </c>
      <c r="C14" s="30">
        <v>4.5999999999999996</v>
      </c>
      <c r="D14" s="67">
        <v>4.5999999999999996</v>
      </c>
      <c r="E14" s="30">
        <f t="shared" si="0"/>
        <v>0</v>
      </c>
      <c r="F14" s="67">
        <v>4.5</v>
      </c>
      <c r="G14" s="30">
        <f t="shared" si="1"/>
        <v>9.9999999999999645E-2</v>
      </c>
      <c r="H14" s="28"/>
      <c r="I14" s="187" t="s">
        <v>44</v>
      </c>
    </row>
    <row r="15" spans="1:9" ht="15" x14ac:dyDescent="0.25">
      <c r="A15" s="25">
        <v>13</v>
      </c>
      <c r="B15" s="29" t="s">
        <v>45</v>
      </c>
      <c r="C15" s="30">
        <v>3.6</v>
      </c>
      <c r="D15" s="67">
        <v>3.7</v>
      </c>
      <c r="E15" s="30">
        <f t="shared" si="0"/>
        <v>-0.10000000000000009</v>
      </c>
      <c r="F15" s="67">
        <v>3.7</v>
      </c>
      <c r="G15" s="30">
        <f t="shared" si="1"/>
        <v>-0.10000000000000009</v>
      </c>
      <c r="H15" s="28"/>
      <c r="I15" s="187" t="s">
        <v>45</v>
      </c>
    </row>
    <row r="16" spans="1:9" ht="15" x14ac:dyDescent="0.25">
      <c r="A16" s="25">
        <v>14</v>
      </c>
      <c r="B16" s="29" t="s">
        <v>46</v>
      </c>
      <c r="C16" s="30">
        <v>7.5</v>
      </c>
      <c r="D16" s="67">
        <v>7.6</v>
      </c>
      <c r="E16" s="30">
        <f t="shared" si="0"/>
        <v>-9.9999999999999645E-2</v>
      </c>
      <c r="F16" s="67">
        <v>7.5</v>
      </c>
      <c r="G16" s="30">
        <f t="shared" si="1"/>
        <v>0</v>
      </c>
      <c r="H16" s="28"/>
      <c r="I16" s="187" t="s">
        <v>46</v>
      </c>
    </row>
    <row r="17" spans="1:9" ht="15" x14ac:dyDescent="0.25">
      <c r="A17" s="25">
        <v>15</v>
      </c>
      <c r="B17" s="29" t="s">
        <v>47</v>
      </c>
      <c r="C17" s="30">
        <v>7.9</v>
      </c>
      <c r="D17" s="67">
        <v>7.9</v>
      </c>
      <c r="E17" s="30">
        <f t="shared" si="0"/>
        <v>0</v>
      </c>
      <c r="F17" s="67">
        <v>8.3000000000000007</v>
      </c>
      <c r="G17" s="30">
        <f t="shared" si="1"/>
        <v>-0.40000000000000036</v>
      </c>
      <c r="H17" s="28"/>
      <c r="I17" s="187" t="s">
        <v>150</v>
      </c>
    </row>
    <row r="18" spans="1:9" ht="15" x14ac:dyDescent="0.25">
      <c r="A18" s="25">
        <v>16</v>
      </c>
      <c r="B18" s="29" t="s">
        <v>48</v>
      </c>
      <c r="C18" s="30">
        <v>3</v>
      </c>
      <c r="D18" s="67">
        <v>3</v>
      </c>
      <c r="E18" s="30">
        <f t="shared" si="0"/>
        <v>0</v>
      </c>
      <c r="F18" s="67">
        <v>2.8</v>
      </c>
      <c r="G18" s="30">
        <f t="shared" si="1"/>
        <v>0.20000000000000018</v>
      </c>
      <c r="H18" s="28"/>
      <c r="I18" s="187" t="s">
        <v>48</v>
      </c>
    </row>
    <row r="19" spans="1:9" ht="15" x14ac:dyDescent="0.25">
      <c r="A19" s="25">
        <v>17</v>
      </c>
      <c r="B19" s="29" t="s">
        <v>49</v>
      </c>
      <c r="C19" s="30">
        <v>6.5</v>
      </c>
      <c r="D19" s="67">
        <v>6.5</v>
      </c>
      <c r="E19" s="30">
        <f t="shared" si="0"/>
        <v>0</v>
      </c>
      <c r="F19" s="67">
        <v>6.5</v>
      </c>
      <c r="G19" s="30">
        <f t="shared" si="1"/>
        <v>0</v>
      </c>
      <c r="H19" s="28"/>
      <c r="I19" s="187" t="s">
        <v>49</v>
      </c>
    </row>
    <row r="20" spans="1:9" ht="12.75" customHeight="1" x14ac:dyDescent="0.2">
      <c r="B20" s="52" t="s">
        <v>151</v>
      </c>
    </row>
    <row r="21" spans="1:9" ht="13.5" customHeight="1" x14ac:dyDescent="0.2">
      <c r="B21" s="167"/>
    </row>
    <row r="22" spans="1:9" x14ac:dyDescent="0.2">
      <c r="B22" s="52"/>
    </row>
  </sheetData>
  <sortState xmlns:xlrd2="http://schemas.microsoft.com/office/spreadsheetml/2017/richdata2" ref="B23:C39">
    <sortCondition descending="1" ref="C23:C39"/>
  </sortState>
  <printOptions horizontalCentered="1" verticalCentered="1"/>
  <pageMargins left="0" right="0" top="3.1496062992125991E-2" bottom="0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EE9B"/>
    <pageSetUpPr fitToPage="1"/>
  </sheetPr>
  <dimension ref="A1:H23"/>
  <sheetViews>
    <sheetView zoomScale="80" zoomScaleNormal="80" workbookViewId="0">
      <selection activeCell="B1" sqref="B1"/>
    </sheetView>
  </sheetViews>
  <sheetFormatPr defaultRowHeight="14.25" x14ac:dyDescent="0.2"/>
  <cols>
    <col min="1" max="1" width="3.5703125" style="3" customWidth="1"/>
    <col min="2" max="2" width="8.140625" style="3" customWidth="1"/>
    <col min="3" max="3" width="28" style="3" customWidth="1"/>
    <col min="4" max="4" width="14.28515625" style="3" customWidth="1"/>
    <col min="5" max="5" width="13.28515625" style="3" customWidth="1"/>
    <col min="6" max="6" width="18.42578125" style="3" customWidth="1"/>
    <col min="7" max="7" width="13.140625" style="3" customWidth="1"/>
    <col min="8" max="8" width="16.7109375" style="3" customWidth="1"/>
    <col min="9" max="17" width="9.140625" style="3"/>
    <col min="18" max="18" width="3.5703125" style="3" customWidth="1"/>
    <col min="19" max="16384" width="9.140625" style="3"/>
  </cols>
  <sheetData>
    <row r="1" spans="1:8" x14ac:dyDescent="0.2">
      <c r="B1" s="2" t="s">
        <v>87</v>
      </c>
    </row>
    <row r="2" spans="1:8" ht="15" x14ac:dyDescent="0.2">
      <c r="C2" s="20"/>
      <c r="D2" s="21"/>
    </row>
    <row r="3" spans="1:8" ht="71.25" x14ac:dyDescent="0.2">
      <c r="B3" s="62" t="s">
        <v>86</v>
      </c>
      <c r="C3" s="55" t="str">
        <f>T('3s.bezr.Pol'!B2)</f>
        <v>powiaty</v>
      </c>
      <c r="D3" s="55" t="str">
        <f>T('3s.bezr.Pol'!C2)</f>
        <v>Stopa bezrobocia stan na 31 X '23 r. (w proc.)*</v>
      </c>
      <c r="E3" s="55" t="str">
        <f>T('3s.bezr.Pol'!D2)</f>
        <v>Stopa bezrobocia stan na 30 IX '23 r. (w proc.)*</v>
      </c>
      <c r="F3" s="66" t="str">
        <f>T('3s.bezr.Pol'!E2)</f>
        <v>wzrost lub spadek do poprzedniego miesiąca (pkt. proc.)</v>
      </c>
      <c r="G3" s="191" t="str">
        <f>T('3s.bezr.Pol'!F2)</f>
        <v>Stopa bezrobocia stan na 31 X '22 r. (w proc.)*</v>
      </c>
      <c r="H3" s="66" t="str">
        <f>T('3s.bezr.Pol'!G2)</f>
        <v>wzrost lub spadek do początku roku (pkt. proc.)</v>
      </c>
    </row>
    <row r="4" spans="1:8" x14ac:dyDescent="0.2">
      <c r="A4" s="3">
        <v>1</v>
      </c>
      <c r="B4" s="6">
        <f>RANK('3s.bezr.Pol'!C3,'3s.bezr.Pol'!$C$3:'3s.bezr.Pol'!$C$19,1)+COUNTIF('3s.bezr.Pol'!$C$3:'3s.bezr.Pol'!C3,'3s.bezr.Pol'!C3)-1</f>
        <v>8</v>
      </c>
      <c r="C4" s="5" t="str">
        <f>INDEX('3s.bezr.Pol'!B3:G19,MATCH(1,B4:B20,0),1)</f>
        <v>WIELKOPOLSKIE</v>
      </c>
      <c r="D4" s="28">
        <f>INDEX('3s.bezr.Pol'!B3:G19,MATCH(1,B4:B20,0),2)</f>
        <v>3</v>
      </c>
      <c r="E4" s="31">
        <f>INDEX('3s.bezr.Pol'!B3:G19,MATCH(1,B4:B20,0),3)</f>
        <v>3</v>
      </c>
      <c r="F4" s="67">
        <f>INDEX('3s.bezr.Pol'!B3:G19,MATCH(1,B4:B20,0),4)</f>
        <v>0</v>
      </c>
      <c r="G4" s="31">
        <f>INDEX('3s.bezr.Pol'!B3:G19,MATCH(1,B4:B20,0),5)</f>
        <v>2.8</v>
      </c>
      <c r="H4" s="67">
        <f>INDEX('3s.bezr.Pol'!B3:G19,MATCH(1,B4:B20,0),6)</f>
        <v>0.20000000000000018</v>
      </c>
    </row>
    <row r="5" spans="1:8" x14ac:dyDescent="0.2">
      <c r="A5" s="3">
        <v>2</v>
      </c>
      <c r="B5" s="6">
        <f>RANK('3s.bezr.Pol'!C4,'3s.bezr.Pol'!$C$3:'3s.bezr.Pol'!$C$19,1)+COUNTIF('3s.bezr.Pol'!$C$3:'3s.bezr.Pol'!C4,'3s.bezr.Pol'!C4)-1</f>
        <v>5</v>
      </c>
      <c r="C5" s="5" t="str">
        <f>INDEX('3s.bezr.Pol'!B3:G19,MATCH(2,B4:B20,0),1)</f>
        <v>ŚLĄSKIE</v>
      </c>
      <c r="D5" s="8">
        <f>INDEX('3s.bezr.Pol'!B3:G19,MATCH(2,B4:B20,0),2)</f>
        <v>3.6</v>
      </c>
      <c r="E5" s="31">
        <f>INDEX('3s.bezr.Pol'!B3:G19,MATCH(2,B4:B20,0),3)</f>
        <v>3.7</v>
      </c>
      <c r="F5" s="67">
        <f>INDEX('3s.bezr.Pol'!B3:G19,MATCH(2,B4:B20,0),4)</f>
        <v>-0.10000000000000009</v>
      </c>
      <c r="G5" s="31">
        <f>INDEX('3s.bezr.Pol'!B3:G19,MATCH(2,B4:B20,0),5)</f>
        <v>3.7</v>
      </c>
      <c r="H5" s="67">
        <f>INDEX('3s.bezr.Pol'!B3:G19,MATCH(2,B4:B20,0),6)</f>
        <v>-0.10000000000000009</v>
      </c>
    </row>
    <row r="6" spans="1:8" x14ac:dyDescent="0.2">
      <c r="A6" s="3">
        <v>3</v>
      </c>
      <c r="B6" s="6">
        <f>RANK('3s.bezr.Pol'!C5,'3s.bezr.Pol'!$C$3:'3s.bezr.Pol'!$C$19,1)+COUNTIF('3s.bezr.Pol'!$C$3:'3s.bezr.Pol'!C5,'3s.bezr.Pol'!C5)-1</f>
        <v>12</v>
      </c>
      <c r="C6" s="5" t="str">
        <f>INDEX('3s.bezr.Pol'!B3:G19,MATCH(3,B4:B20,0),1)</f>
        <v>MAŁOPOLSKIE</v>
      </c>
      <c r="D6" s="8">
        <f>INDEX('3s.bezr.Pol'!B3:G19,MATCH(3,B4:B20,0),2)</f>
        <v>4.0999999999999996</v>
      </c>
      <c r="E6" s="31">
        <f>INDEX('3s.bezr.Pol'!B3:G19,MATCH(3,B4:B20,0),3)</f>
        <v>4.0999999999999996</v>
      </c>
      <c r="F6" s="67">
        <f>INDEX('3s.bezr.Pol'!B3:G19,MATCH(3,B4:B20,0),4)</f>
        <v>0</v>
      </c>
      <c r="G6" s="31">
        <f>INDEX('3s.bezr.Pol'!B3:G19,MATCH(3,B4:B20,0),5)</f>
        <v>4.5</v>
      </c>
      <c r="H6" s="67">
        <f>INDEX('3s.bezr.Pol'!B3:G19,MATCH(3,B4:B20,0),6)</f>
        <v>-0.40000000000000036</v>
      </c>
    </row>
    <row r="7" spans="1:8" x14ac:dyDescent="0.2">
      <c r="A7" s="3">
        <v>4</v>
      </c>
      <c r="B7" s="6">
        <f>RANK('3s.bezr.Pol'!C6,'3s.bezr.Pol'!$C$3:'3s.bezr.Pol'!$C$19,1)+COUNTIF('3s.bezr.Pol'!$C$3:'3s.bezr.Pol'!C6,'3s.bezr.Pol'!C6)-1</f>
        <v>14</v>
      </c>
      <c r="C7" s="5" t="str">
        <f>INDEX('3s.bezr.Pol'!B3:G19,MATCH(4,B4:B20,0),1)</f>
        <v>MAZOWIECKIE</v>
      </c>
      <c r="D7" s="8">
        <f>INDEX('3s.bezr.Pol'!B3:G19,MATCH(4,B4:B20,0),2)</f>
        <v>4.0999999999999996</v>
      </c>
      <c r="E7" s="31">
        <f>INDEX('3s.bezr.Pol'!B3:G19,MATCH(4,B4:B20,0),3)</f>
        <v>4.0999999999999996</v>
      </c>
      <c r="F7" s="67">
        <f>INDEX('3s.bezr.Pol'!B3:G19,MATCH(4,B4:B20,0),4)</f>
        <v>0</v>
      </c>
      <c r="G7" s="31">
        <f>INDEX('3s.bezr.Pol'!B3:G19,MATCH(4,B4:B20,0),5)</f>
        <v>4.2</v>
      </c>
      <c r="H7" s="67">
        <f>INDEX('3s.bezr.Pol'!B3:G19,MATCH(4,B4:B20,0),6)</f>
        <v>-0.10000000000000053</v>
      </c>
    </row>
    <row r="8" spans="1:8" x14ac:dyDescent="0.2">
      <c r="A8" s="3">
        <v>5</v>
      </c>
      <c r="B8" s="6">
        <f>RANK('3s.bezr.Pol'!C7,'3s.bezr.Pol'!$C$3:'3s.bezr.Pol'!$C$19,1)+COUNTIF('3s.bezr.Pol'!$C$3:'3s.bezr.Pol'!C7,'3s.bezr.Pol'!C7)-1</f>
        <v>6</v>
      </c>
      <c r="C8" s="5" t="str">
        <f>INDEX('3s.bezr.Pol'!B3:G19,MATCH(5,B4:B20,0),1)</f>
        <v>DOLNOŚLĄSKIE</v>
      </c>
      <c r="D8" s="8">
        <f>INDEX('3s.bezr.Pol'!B3:G19,MATCH(5,B4:B20,0),2)</f>
        <v>4.3</v>
      </c>
      <c r="E8" s="31">
        <f>INDEX('3s.bezr.Pol'!B3:G19,MATCH(5,B4:B20,0),3)</f>
        <v>4.4000000000000004</v>
      </c>
      <c r="F8" s="67">
        <f>INDEX('3s.bezr.Pol'!B3:G19,MATCH(5,B4:B20,0),4)</f>
        <v>-0.10000000000000053</v>
      </c>
      <c r="G8" s="31">
        <f>INDEX('3s.bezr.Pol'!B3:G19,MATCH(5,B4:B20,0),5)</f>
        <v>4.4000000000000004</v>
      </c>
      <c r="H8" s="67">
        <f>INDEX('3s.bezr.Pol'!B3:G19,MATCH(5,B4:B20,0),6)</f>
        <v>-0.10000000000000053</v>
      </c>
    </row>
    <row r="9" spans="1:8" x14ac:dyDescent="0.2">
      <c r="A9" s="3">
        <v>6</v>
      </c>
      <c r="B9" s="6">
        <f>RANK('3s.bezr.Pol'!C8,'3s.bezr.Pol'!$C$3:'3s.bezr.Pol'!$C$19,1)+COUNTIF('3s.bezr.Pol'!$C$3:'3s.bezr.Pol'!C8,'3s.bezr.Pol'!C8)-1</f>
        <v>9</v>
      </c>
      <c r="C9" s="5" t="str">
        <f>INDEX('3s.bezr.Pol'!B3:G19,MATCH(6,B4:B20,0),1)</f>
        <v>LUBUSKIE</v>
      </c>
      <c r="D9" s="8">
        <f>INDEX('3s.bezr.Pol'!B3:G19,MATCH(6,B4:B20,0),2)</f>
        <v>4.3</v>
      </c>
      <c r="E9" s="31">
        <f>INDEX('3s.bezr.Pol'!B3:G19,MATCH(6,B4:B20,0),3)</f>
        <v>4.3</v>
      </c>
      <c r="F9" s="67">
        <f>INDEX('3s.bezr.Pol'!B3:G19,MATCH(6,B4:B20,0),4)</f>
        <v>0</v>
      </c>
      <c r="G9" s="31">
        <f>INDEX('3s.bezr.Pol'!B3:G19,MATCH(6,B4:B20,0),5)</f>
        <v>4.2</v>
      </c>
      <c r="H9" s="67">
        <f>INDEX('3s.bezr.Pol'!B3:G19,MATCH(6,B4:B20,0),6)</f>
        <v>9.9999999999999645E-2</v>
      </c>
    </row>
    <row r="10" spans="1:8" x14ac:dyDescent="0.2">
      <c r="A10" s="3">
        <v>7</v>
      </c>
      <c r="B10" s="6">
        <f>RANK('3s.bezr.Pol'!C9,'3s.bezr.Pol'!$C$3:'3s.bezr.Pol'!$C$19,1)+COUNTIF('3s.bezr.Pol'!$C$3:'3s.bezr.Pol'!C9,'3s.bezr.Pol'!C9)-1</f>
        <v>3</v>
      </c>
      <c r="C10" s="9" t="str">
        <f>INDEX('3s.bezr.Pol'!B3:G19,MATCH(7,B4:B20,0),1)</f>
        <v>POMORSKIE</v>
      </c>
      <c r="D10" s="8">
        <f>INDEX('3s.bezr.Pol'!B3:G19,MATCH(7,B4:B20,0),2)</f>
        <v>4.5999999999999996</v>
      </c>
      <c r="E10" s="31">
        <f>INDEX('3s.bezr.Pol'!B3:G19,MATCH(7,B4:B20,0),3)</f>
        <v>4.5999999999999996</v>
      </c>
      <c r="F10" s="67">
        <f>INDEX('3s.bezr.Pol'!B3:G19,MATCH(7,B4:B20,0),4)</f>
        <v>0</v>
      </c>
      <c r="G10" s="31">
        <f>INDEX('3s.bezr.Pol'!B3:G19,MATCH(7,B4:B20,0),5)</f>
        <v>4.5</v>
      </c>
      <c r="H10" s="67">
        <f>INDEX('3s.bezr.Pol'!B3:G19,MATCH(7,B4:B20,0),6)</f>
        <v>9.9999999999999645E-2</v>
      </c>
    </row>
    <row r="11" spans="1:8" ht="15" x14ac:dyDescent="0.25">
      <c r="A11" s="3">
        <v>8</v>
      </c>
      <c r="B11" s="22">
        <f>RANK('3s.bezr.Pol'!C10,'3s.bezr.Pol'!$C$3:'3s.bezr.Pol'!$C$19,1)+COUNTIF('3s.bezr.Pol'!$C$3:'3s.bezr.Pol'!C10,'3s.bezr.Pol'!C10)-1</f>
        <v>4</v>
      </c>
      <c r="C11" s="41" t="str">
        <f>INDEX('3s.bezr.Pol'!B3:G19,MATCH(8,B4:B20,0),1)</f>
        <v>POLSKA</v>
      </c>
      <c r="D11" s="34">
        <f>INDEX('3s.bezr.Pol'!B3:G19,MATCH(8,B4:B20,0),2)</f>
        <v>5</v>
      </c>
      <c r="E11" s="51">
        <f>INDEX('3s.bezr.Pol'!B3:G19,MATCH(8,B4:B20,0),3)</f>
        <v>5</v>
      </c>
      <c r="F11" s="68">
        <f>INDEX('3s.bezr.Pol'!B3:G19,MATCH(8,B4:B20,0),4)</f>
        <v>0</v>
      </c>
      <c r="G11" s="51">
        <f>INDEX('3s.bezr.Pol'!B3:G19,MATCH(8,B4:B20,0),5)</f>
        <v>5.0999999999999996</v>
      </c>
      <c r="H11" s="68">
        <f>INDEX('3s.bezr.Pol'!B3:G19,MATCH(8,B4:B20,0),6)</f>
        <v>-9.9999999999999645E-2</v>
      </c>
    </row>
    <row r="12" spans="1:8" x14ac:dyDescent="0.2">
      <c r="A12" s="3">
        <v>9</v>
      </c>
      <c r="B12" s="6">
        <f>RANK('3s.bezr.Pol'!C11,'3s.bezr.Pol'!$C$3:'3s.bezr.Pol'!$C$19,1)+COUNTIF('3s.bezr.Pol'!$C$3:'3s.bezr.Pol'!C11,'3s.bezr.Pol'!C11)-1</f>
        <v>10</v>
      </c>
      <c r="C12" s="5" t="str">
        <f>INDEX('3s.bezr.Pol'!B3:G19,MATCH(9,B4:B20,0),1)</f>
        <v>ŁÓDZKIE</v>
      </c>
      <c r="D12" s="8">
        <f>INDEX('3s.bezr.Pol'!B3:G19,MATCH(9,B4:B20,0),2)</f>
        <v>5.3</v>
      </c>
      <c r="E12" s="31">
        <f>INDEX('3s.bezr.Pol'!B3:G19,MATCH(9,B4:B20,0),3)</f>
        <v>5.4</v>
      </c>
      <c r="F12" s="67">
        <f>INDEX('3s.bezr.Pol'!B3:G19,MATCH(9,B4:B20,0),4)</f>
        <v>-0.10000000000000053</v>
      </c>
      <c r="G12" s="31">
        <f>INDEX('3s.bezr.Pol'!B3:G19,MATCH(9,B4:B20,0),5)</f>
        <v>5.5</v>
      </c>
      <c r="H12" s="67">
        <f>INDEX('3s.bezr.Pol'!B3:G19,MATCH(9,B4:B20,0),6)</f>
        <v>-0.20000000000000018</v>
      </c>
    </row>
    <row r="13" spans="1:8" x14ac:dyDescent="0.2">
      <c r="A13" s="3">
        <v>10</v>
      </c>
      <c r="B13" s="6">
        <f>RANK('3s.bezr.Pol'!C12,'3s.bezr.Pol'!$C$3:'3s.bezr.Pol'!$C$19,1)+COUNTIF('3s.bezr.Pol'!$C$3:'3s.bezr.Pol'!C12,'3s.bezr.Pol'!C12)-1</f>
        <v>17</v>
      </c>
      <c r="C13" s="5" t="str">
        <f>INDEX('3s.bezr.Pol'!B3:G19,MATCH(10,B4:B20,0),1)</f>
        <v>OPOLSKIE</v>
      </c>
      <c r="D13" s="8">
        <f>INDEX('3s.bezr.Pol'!B3:G19,MATCH(10,B4:B20,0),2)</f>
        <v>5.6</v>
      </c>
      <c r="E13" s="31">
        <f>INDEX('3s.bezr.Pol'!B3:G19,MATCH(10,B4:B20,0),3)</f>
        <v>5.7</v>
      </c>
      <c r="F13" s="67">
        <f>INDEX('3s.bezr.Pol'!B3:G19,MATCH(10,B4:B20,0),4)</f>
        <v>-0.10000000000000053</v>
      </c>
      <c r="G13" s="31">
        <f>INDEX('3s.bezr.Pol'!B3:G19,MATCH(10,B4:B20,0),5)</f>
        <v>6</v>
      </c>
      <c r="H13" s="67">
        <f>INDEX('3s.bezr.Pol'!B3:G19,MATCH(10,B4:B20,0),6)</f>
        <v>-0.40000000000000036</v>
      </c>
    </row>
    <row r="14" spans="1:8" x14ac:dyDescent="0.2">
      <c r="A14" s="3">
        <v>11</v>
      </c>
      <c r="B14" s="6">
        <f>RANK('3s.bezr.Pol'!C13,'3s.bezr.Pol'!$C$3:'3s.bezr.Pol'!$C$19,1)+COUNTIF('3s.bezr.Pol'!$C$3:'3s.bezr.Pol'!C13,'3s.bezr.Pol'!C13)-1</f>
        <v>13</v>
      </c>
      <c r="C14" s="5" t="str">
        <f>INDEX('3s.bezr.Pol'!B3:G19,MATCH(11,B4:B20,0),1)</f>
        <v>ZACHODNIOPOMORSKIE</v>
      </c>
      <c r="D14" s="8">
        <f>INDEX('3s.bezr.Pol'!B3:G19,MATCH(11,B4:B20,0),2)</f>
        <v>6.5</v>
      </c>
      <c r="E14" s="31">
        <f>INDEX('3s.bezr.Pol'!B3:G19,MATCH(11,B4:B20,0),3)</f>
        <v>6.5</v>
      </c>
      <c r="F14" s="67">
        <f>INDEX('3s.bezr.Pol'!B3:G19,MATCH(11,B4:B20,0),4)</f>
        <v>0</v>
      </c>
      <c r="G14" s="31">
        <f>INDEX('3s.bezr.Pol'!B3:G19,MATCH(11,B4:B20,0),5)</f>
        <v>6.5</v>
      </c>
      <c r="H14" s="67">
        <f>INDEX('3s.bezr.Pol'!B3:G19,MATCH(11,B4:B20,0),6)</f>
        <v>0</v>
      </c>
    </row>
    <row r="15" spans="1:8" x14ac:dyDescent="0.2">
      <c r="A15" s="3">
        <v>12</v>
      </c>
      <c r="B15" s="6">
        <f>RANK('3s.bezr.Pol'!C14,'3s.bezr.Pol'!$C$3:'3s.bezr.Pol'!$C$19,1)+COUNTIF('3s.bezr.Pol'!$C$3:'3s.bezr.Pol'!C14,'3s.bezr.Pol'!C14)-1</f>
        <v>7</v>
      </c>
      <c r="C15" s="5" t="str">
        <f>INDEX('3s.bezr.Pol'!B3:G19,MATCH(12,B4:B20,0),1)</f>
        <v>KUJAWSKO-POMORSKIE</v>
      </c>
      <c r="D15" s="8">
        <f>INDEX('3s.bezr.Pol'!B3:G19,MATCH(12,B4:B20,0),2)</f>
        <v>6.8</v>
      </c>
      <c r="E15" s="31">
        <f>INDEX('3s.bezr.Pol'!B3:G19,MATCH(12,B4:B20,0),3)</f>
        <v>6.9</v>
      </c>
      <c r="F15" s="67">
        <f>INDEX('3s.bezr.Pol'!B3:G19,MATCH(12,B4:B20,0),4)</f>
        <v>-0.10000000000000053</v>
      </c>
      <c r="G15" s="31">
        <f>INDEX('3s.bezr.Pol'!B3:G19,MATCH(12,B4:B20,0),5)</f>
        <v>7.1</v>
      </c>
      <c r="H15" s="67">
        <f>INDEX('3s.bezr.Pol'!B3:G19,MATCH(12,B4:B20,0),6)</f>
        <v>-0.29999999999999982</v>
      </c>
    </row>
    <row r="16" spans="1:8" x14ac:dyDescent="0.2">
      <c r="A16" s="3">
        <v>13</v>
      </c>
      <c r="B16" s="6">
        <f>RANK('3s.bezr.Pol'!C15,'3s.bezr.Pol'!$C$3:'3s.bezr.Pol'!$C$19,1)+COUNTIF('3s.bezr.Pol'!$C$3:'3s.bezr.Pol'!C15,'3s.bezr.Pol'!C15)-1</f>
        <v>2</v>
      </c>
      <c r="C16" s="5" t="str">
        <f>INDEX('3s.bezr.Pol'!B3:G19,MATCH(13,B4:B20,0),1)</f>
        <v>PODLASKIE</v>
      </c>
      <c r="D16" s="8">
        <f>INDEX('3s.bezr.Pol'!B3:G19,MATCH(13,B4:B20,0),2)</f>
        <v>6.8</v>
      </c>
      <c r="E16" s="31">
        <f>INDEX('3s.bezr.Pol'!B3:G19,MATCH(13,B4:B20,0),3)</f>
        <v>6.8</v>
      </c>
      <c r="F16" s="67">
        <f>INDEX('3s.bezr.Pol'!B3:G19,MATCH(13,B4:B20,0),4)</f>
        <v>0</v>
      </c>
      <c r="G16" s="31">
        <f>INDEX('3s.bezr.Pol'!B3:G19,MATCH(13,B4:B20,0),5)</f>
        <v>7.1</v>
      </c>
      <c r="H16" s="67">
        <f>INDEX('3s.bezr.Pol'!B3:G19,MATCH(13,B4:B20,0),6)</f>
        <v>-0.29999999999999982</v>
      </c>
    </row>
    <row r="17" spans="1:8" x14ac:dyDescent="0.2">
      <c r="A17" s="3">
        <v>14</v>
      </c>
      <c r="B17" s="6">
        <f>RANK('3s.bezr.Pol'!C16,'3s.bezr.Pol'!$C$3:'3s.bezr.Pol'!$C$19,1)+COUNTIF('3s.bezr.Pol'!$C$3:'3s.bezr.Pol'!C16,'3s.bezr.Pol'!C16)-1</f>
        <v>15</v>
      </c>
      <c r="C17" s="5" t="str">
        <f>INDEX('3s.bezr.Pol'!B3:G19,MATCH(14,B4:B20,0),1)</f>
        <v>LUBELSKIE</v>
      </c>
      <c r="D17" s="8">
        <f>INDEX('3s.bezr.Pol'!B3:G19,MATCH(14,B4:B20,0),2)</f>
        <v>7.3</v>
      </c>
      <c r="E17" s="31">
        <f>INDEX('3s.bezr.Pol'!B3:G19,MATCH(14,B4:B20,0),3)</f>
        <v>7.3</v>
      </c>
      <c r="F17" s="67">
        <f>INDEX('3s.bezr.Pol'!B3:G19,MATCH(14,B4:B20,0),4)</f>
        <v>0</v>
      </c>
      <c r="G17" s="31">
        <f>INDEX('3s.bezr.Pol'!B3:G19,MATCH(14,B4:B20,0),5)</f>
        <v>7.8</v>
      </c>
      <c r="H17" s="67">
        <f>INDEX('3s.bezr.Pol'!B3:G19,MATCH(14,B4:B20,0),6)</f>
        <v>-0.5</v>
      </c>
    </row>
    <row r="18" spans="1:8" x14ac:dyDescent="0.2">
      <c r="A18" s="3">
        <v>15</v>
      </c>
      <c r="B18" s="6">
        <f>RANK('3s.bezr.Pol'!C17,'3s.bezr.Pol'!$C$3:'3s.bezr.Pol'!$C$19,1)+COUNTIF('3s.bezr.Pol'!$C$3:'3s.bezr.Pol'!C17,'3s.bezr.Pol'!C17)-1</f>
        <v>16</v>
      </c>
      <c r="C18" s="5" t="str">
        <f>INDEX('3s.bezr.Pol'!B3:G19,MATCH(15,B4:B20,0),1)</f>
        <v>ŚWIĘTOKRZYSKIE</v>
      </c>
      <c r="D18" s="8">
        <f>INDEX('3s.bezr.Pol'!B3:G19,MATCH(15,B4:B20,0),2)</f>
        <v>7.5</v>
      </c>
      <c r="E18" s="31">
        <f>INDEX('3s.bezr.Pol'!B3:G19,MATCH(15,B4:B20,0),3)</f>
        <v>7.6</v>
      </c>
      <c r="F18" s="67">
        <f>INDEX('3s.bezr.Pol'!B3:G19,MATCH(15,B4:B20,0),4)</f>
        <v>-9.9999999999999645E-2</v>
      </c>
      <c r="G18" s="31">
        <f>INDEX('3s.bezr.Pol'!B3:G19,MATCH(15,B4:B20,0),5)</f>
        <v>7.5</v>
      </c>
      <c r="H18" s="67">
        <f>INDEX('3s.bezr.Pol'!B3:G19,MATCH(15,B4:B20,0),6)</f>
        <v>0</v>
      </c>
    </row>
    <row r="19" spans="1:8" x14ac:dyDescent="0.2">
      <c r="A19" s="3">
        <v>16</v>
      </c>
      <c r="B19" s="6">
        <f>RANK('3s.bezr.Pol'!C18,'3s.bezr.Pol'!$C$3:'3s.bezr.Pol'!$C$19,1)+COUNTIF('3s.bezr.Pol'!$C$3:'3s.bezr.Pol'!C18,'3s.bezr.Pol'!C18)-1</f>
        <v>1</v>
      </c>
      <c r="C19" s="5" t="str">
        <f>INDEX('3s.bezr.Pol'!B3:G19,MATCH(16,B4:B20,0),1)</f>
        <v>WARMIŃSKO-MAZURSKIE</v>
      </c>
      <c r="D19" s="8">
        <f>INDEX('3s.bezr.Pol'!B3:G19,MATCH(16,B4:B20,0),2)</f>
        <v>7.9</v>
      </c>
      <c r="E19" s="31">
        <f>INDEX('3s.bezr.Pol'!B3:G19,MATCH(16,B4:B20,0),3)</f>
        <v>7.9</v>
      </c>
      <c r="F19" s="67">
        <f>INDEX('3s.bezr.Pol'!B3:G19,MATCH(16,B4:B20,0),4)</f>
        <v>0</v>
      </c>
      <c r="G19" s="31">
        <f>INDEX('3s.bezr.Pol'!B3:G19,MATCH(16,B4:B20,0),5)</f>
        <v>8.3000000000000007</v>
      </c>
      <c r="H19" s="67">
        <f>INDEX('3s.bezr.Pol'!B3:G19,MATCH(16,B4:B20,0),6)</f>
        <v>-0.40000000000000036</v>
      </c>
    </row>
    <row r="20" spans="1:8" x14ac:dyDescent="0.2">
      <c r="A20" s="3">
        <v>17</v>
      </c>
      <c r="B20" s="6">
        <f>RANK('3s.bezr.Pol'!C19,'3s.bezr.Pol'!$C$3:'3s.bezr.Pol'!$C$19,1)+COUNTIF('3s.bezr.Pol'!$C$3:'3s.bezr.Pol'!C19,'3s.bezr.Pol'!C19)-1</f>
        <v>11</v>
      </c>
      <c r="C20" s="9" t="str">
        <f>INDEX('3s.bezr.Pol'!B3:G19,MATCH(17,B4:B20,0),1)</f>
        <v>PODKARPACKIE</v>
      </c>
      <c r="D20" s="8">
        <f>INDEX('3s.bezr.Pol'!B3:G19,MATCH(17,B4:B20,0),2)</f>
        <v>8.3000000000000007</v>
      </c>
      <c r="E20" s="31">
        <f>INDEX('3s.bezr.Pol'!B3:G19,MATCH(17,B4:B20,0),3)</f>
        <v>8.3000000000000007</v>
      </c>
      <c r="F20" s="67">
        <f>INDEX('3s.bezr.Pol'!B3:G19,MATCH(17,B4:B20,0),4)</f>
        <v>0</v>
      </c>
      <c r="G20" s="31">
        <f>INDEX('3s.bezr.Pol'!B3:G19,MATCH(17,B4:B20,0),5)</f>
        <v>8.6999999999999993</v>
      </c>
      <c r="H20" s="67">
        <f>INDEX('3s.bezr.Pol'!B3:G19,MATCH(17,B4:B20,0),6)</f>
        <v>-0.39999999999999858</v>
      </c>
    </row>
    <row r="21" spans="1:8" x14ac:dyDescent="0.2">
      <c r="B21" s="52" t="str">
        <f>T('3s.bezr.Pol'!B20)</f>
        <v xml:space="preserve">* GUS, Bank Danych Lokalnych </v>
      </c>
    </row>
    <row r="22" spans="1:8" x14ac:dyDescent="0.2">
      <c r="B22" s="167"/>
    </row>
    <row r="23" spans="1:8" x14ac:dyDescent="0.2">
      <c r="B23" s="53"/>
    </row>
  </sheetData>
  <pageMargins left="0" right="0" top="0.31496062992125984" bottom="0" header="0" footer="0"/>
  <pageSetup paperSize="9"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D700"/>
    <pageSetUpPr fitToPage="1"/>
  </sheetPr>
  <dimension ref="A1:H31"/>
  <sheetViews>
    <sheetView zoomScale="80" zoomScaleNormal="80" workbookViewId="0">
      <selection activeCell="B1" sqref="B1"/>
    </sheetView>
  </sheetViews>
  <sheetFormatPr defaultRowHeight="14.25" x14ac:dyDescent="0.2"/>
  <cols>
    <col min="1" max="1" width="4.42578125" style="25" customWidth="1"/>
    <col min="2" max="2" width="31.5703125" style="3" customWidth="1"/>
    <col min="3" max="3" width="15" style="3" customWidth="1"/>
    <col min="4" max="4" width="16" style="3" customWidth="1"/>
    <col min="5" max="5" width="16.28515625" style="3" customWidth="1"/>
    <col min="6" max="6" width="15.5703125" style="3" customWidth="1"/>
    <col min="7" max="7" width="17.140625" style="3" customWidth="1"/>
    <col min="8" max="8" width="2.42578125" style="3" customWidth="1"/>
    <col min="9" max="9" width="10.140625" style="3" customWidth="1"/>
    <col min="10" max="16384" width="9.140625" style="3"/>
  </cols>
  <sheetData>
    <row r="1" spans="1:8" ht="16.5" customHeight="1" x14ac:dyDescent="0.2">
      <c r="B1" s="2" t="s">
        <v>88</v>
      </c>
    </row>
    <row r="2" spans="1:8" ht="71.25" x14ac:dyDescent="0.2">
      <c r="B2" s="56" t="s">
        <v>27</v>
      </c>
      <c r="C2" s="56" t="s">
        <v>127</v>
      </c>
      <c r="D2" s="57" t="s">
        <v>155</v>
      </c>
      <c r="E2" s="56" t="s">
        <v>75</v>
      </c>
      <c r="F2" s="57" t="s">
        <v>154</v>
      </c>
      <c r="G2" s="56" t="s">
        <v>118</v>
      </c>
    </row>
    <row r="3" spans="1:8" ht="15" x14ac:dyDescent="0.2">
      <c r="A3" s="25">
        <v>1</v>
      </c>
      <c r="B3" s="69" t="s">
        <v>33</v>
      </c>
      <c r="C3" s="70">
        <v>5</v>
      </c>
      <c r="D3" s="71">
        <v>5</v>
      </c>
      <c r="E3" s="72">
        <f>($C$3)-$D$3</f>
        <v>0</v>
      </c>
      <c r="F3" s="71">
        <v>5.0999999999999996</v>
      </c>
      <c r="G3" s="70">
        <f>($C$3)-$F$3</f>
        <v>-9.9999999999999645E-2</v>
      </c>
      <c r="H3" s="25"/>
    </row>
    <row r="4" spans="1:8" ht="15" x14ac:dyDescent="0.25">
      <c r="A4" s="25">
        <v>2</v>
      </c>
      <c r="B4" s="73" t="s">
        <v>42</v>
      </c>
      <c r="C4" s="74">
        <v>8.3000000000000007</v>
      </c>
      <c r="D4" s="71">
        <v>8.3000000000000007</v>
      </c>
      <c r="E4" s="74">
        <f>($C$4)-$D$4</f>
        <v>0</v>
      </c>
      <c r="F4" s="71">
        <v>8.6999999999999993</v>
      </c>
      <c r="G4" s="74">
        <f>($C$4)-$F$4</f>
        <v>-0.39999999999999858</v>
      </c>
      <c r="H4" s="25"/>
    </row>
    <row r="5" spans="1:8" x14ac:dyDescent="0.2">
      <c r="A5" s="25">
        <v>3</v>
      </c>
      <c r="B5" s="29" t="s">
        <v>50</v>
      </c>
      <c r="C5" s="30">
        <v>14.3</v>
      </c>
      <c r="D5" s="75">
        <v>14</v>
      </c>
      <c r="E5" s="8">
        <f>($C$5)-$D$5</f>
        <v>0.30000000000000071</v>
      </c>
      <c r="F5" s="75">
        <v>15.2</v>
      </c>
      <c r="G5" s="8">
        <f>($C$5)-$F$5</f>
        <v>-0.89999999999999858</v>
      </c>
      <c r="H5" s="25"/>
    </row>
    <row r="6" spans="1:8" x14ac:dyDescent="0.2">
      <c r="A6" s="25">
        <v>4</v>
      </c>
      <c r="B6" s="29" t="s">
        <v>51</v>
      </c>
      <c r="C6" s="30">
        <v>19.899999999999999</v>
      </c>
      <c r="D6" s="75">
        <v>19.8</v>
      </c>
      <c r="E6" s="8">
        <f>($C$6)-$D$6</f>
        <v>9.9999999999997868E-2</v>
      </c>
      <c r="F6" s="75">
        <v>20.6</v>
      </c>
      <c r="G6" s="8">
        <f>($C$6)-$F$6</f>
        <v>-0.70000000000000284</v>
      </c>
      <c r="H6" s="25"/>
    </row>
    <row r="7" spans="1:8" x14ac:dyDescent="0.2">
      <c r="A7" s="25">
        <v>5</v>
      </c>
      <c r="B7" s="29" t="s">
        <v>52</v>
      </c>
      <c r="C7" s="30">
        <v>4.5999999999999996</v>
      </c>
      <c r="D7" s="75">
        <v>4.5</v>
      </c>
      <c r="E7" s="8">
        <f>($C$7)-$D$7</f>
        <v>9.9999999999999645E-2</v>
      </c>
      <c r="F7" s="75">
        <v>4.5999999999999996</v>
      </c>
      <c r="G7" s="8">
        <f>($C$7)-$F$7</f>
        <v>0</v>
      </c>
      <c r="H7" s="25"/>
    </row>
    <row r="8" spans="1:8" x14ac:dyDescent="0.2">
      <c r="A8" s="25">
        <v>6</v>
      </c>
      <c r="B8" s="29" t="s">
        <v>53</v>
      </c>
      <c r="C8" s="30">
        <v>10.3</v>
      </c>
      <c r="D8" s="75">
        <v>10.4</v>
      </c>
      <c r="E8" s="8">
        <f>($C$8)-$D$8</f>
        <v>-9.9999999999999645E-2</v>
      </c>
      <c r="F8" s="75">
        <v>11.5</v>
      </c>
      <c r="G8" s="8">
        <f>($C$8)-$F$8</f>
        <v>-1.1999999999999993</v>
      </c>
      <c r="H8" s="25"/>
    </row>
    <row r="9" spans="1:8" x14ac:dyDescent="0.2">
      <c r="A9" s="25">
        <v>7</v>
      </c>
      <c r="B9" s="29" t="s">
        <v>54</v>
      </c>
      <c r="C9" s="30">
        <v>12.6</v>
      </c>
      <c r="D9" s="75">
        <v>12.4</v>
      </c>
      <c r="E9" s="8">
        <f>($C$9)-$D$9</f>
        <v>0.19999999999999929</v>
      </c>
      <c r="F9" s="75">
        <v>12.5</v>
      </c>
      <c r="G9" s="8">
        <f>($C$9)-$F$9</f>
        <v>9.9999999999999645E-2</v>
      </c>
      <c r="H9" s="25"/>
    </row>
    <row r="10" spans="1:8" x14ac:dyDescent="0.2">
      <c r="A10" s="25">
        <v>8</v>
      </c>
      <c r="B10" s="29" t="s">
        <v>55</v>
      </c>
      <c r="C10" s="30">
        <v>7.5</v>
      </c>
      <c r="D10" s="75">
        <v>7.6</v>
      </c>
      <c r="E10" s="8">
        <f>($C$10)-$D$10</f>
        <v>-9.9999999999999645E-2</v>
      </c>
      <c r="F10" s="75">
        <v>8.1999999999999993</v>
      </c>
      <c r="G10" s="8">
        <f>($C$10)-$F$10</f>
        <v>-0.69999999999999929</v>
      </c>
      <c r="H10" s="25"/>
    </row>
    <row r="11" spans="1:8" x14ac:dyDescent="0.2">
      <c r="A11" s="25">
        <v>9</v>
      </c>
      <c r="B11" s="29" t="s">
        <v>56</v>
      </c>
      <c r="C11" s="30">
        <v>7.8</v>
      </c>
      <c r="D11" s="75">
        <v>7.8</v>
      </c>
      <c r="E11" s="8">
        <f>($C$11)-$D$11</f>
        <v>0</v>
      </c>
      <c r="F11" s="75">
        <v>7.1</v>
      </c>
      <c r="G11" s="8">
        <f>($C$11)-$F$11</f>
        <v>0.70000000000000018</v>
      </c>
      <c r="H11" s="25"/>
    </row>
    <row r="12" spans="1:8" ht="15" x14ac:dyDescent="0.25">
      <c r="A12" s="25">
        <v>10</v>
      </c>
      <c r="B12" s="32" t="s">
        <v>57</v>
      </c>
      <c r="C12" s="33">
        <v>17.399999999999999</v>
      </c>
      <c r="D12" s="71">
        <v>17.100000000000001</v>
      </c>
      <c r="E12" s="34">
        <f>($C$12)-$D$12</f>
        <v>0.29999999999999716</v>
      </c>
      <c r="F12" s="71">
        <v>18.3</v>
      </c>
      <c r="G12" s="34">
        <f>($C$12)-$F$12</f>
        <v>-0.90000000000000213</v>
      </c>
      <c r="H12" s="28"/>
    </row>
    <row r="13" spans="1:8" x14ac:dyDescent="0.2">
      <c r="A13" s="25">
        <v>11</v>
      </c>
      <c r="B13" s="29" t="s">
        <v>58</v>
      </c>
      <c r="C13" s="30">
        <v>13.8</v>
      </c>
      <c r="D13" s="75">
        <v>13.7</v>
      </c>
      <c r="E13" s="8">
        <f>($C$13)-$D$13</f>
        <v>0.10000000000000142</v>
      </c>
      <c r="F13" s="75">
        <v>15.1</v>
      </c>
      <c r="G13" s="8">
        <f>($C$13)-$F$13</f>
        <v>-1.2999999999999989</v>
      </c>
      <c r="H13" s="25"/>
    </row>
    <row r="14" spans="1:8" x14ac:dyDescent="0.2">
      <c r="A14" s="25">
        <v>12</v>
      </c>
      <c r="B14" s="29" t="s">
        <v>59</v>
      </c>
      <c r="C14" s="30">
        <v>9.6</v>
      </c>
      <c r="D14" s="75">
        <v>9.4</v>
      </c>
      <c r="E14" s="8">
        <f>($C$14)-$D$14</f>
        <v>0.19999999999999929</v>
      </c>
      <c r="F14" s="75">
        <v>10.6</v>
      </c>
      <c r="G14" s="8">
        <f>($C$14)-$F$14</f>
        <v>-1</v>
      </c>
      <c r="H14" s="25"/>
    </row>
    <row r="15" spans="1:8" x14ac:dyDescent="0.2">
      <c r="A15" s="25">
        <v>13</v>
      </c>
      <c r="B15" s="29" t="s">
        <v>60</v>
      </c>
      <c r="C15" s="30">
        <v>9</v>
      </c>
      <c r="D15" s="75">
        <v>9.1</v>
      </c>
      <c r="E15" s="8">
        <f>($C$15)-$D$15</f>
        <v>-9.9999999999999645E-2</v>
      </c>
      <c r="F15" s="75">
        <v>9.8000000000000007</v>
      </c>
      <c r="G15" s="8">
        <f>($C$15)-$F$15</f>
        <v>-0.80000000000000071</v>
      </c>
      <c r="H15" s="25"/>
    </row>
    <row r="16" spans="1:8" x14ac:dyDescent="0.2">
      <c r="A16" s="25">
        <v>14</v>
      </c>
      <c r="B16" s="29" t="s">
        <v>61</v>
      </c>
      <c r="C16" s="30">
        <v>5.0999999999999996</v>
      </c>
      <c r="D16" s="75">
        <v>5.0999999999999996</v>
      </c>
      <c r="E16" s="8">
        <f>($C$16)-$D$16</f>
        <v>0</v>
      </c>
      <c r="F16" s="75">
        <v>4.5</v>
      </c>
      <c r="G16" s="8">
        <f>($C$16)-$F$16</f>
        <v>0.59999999999999964</v>
      </c>
      <c r="H16" s="25"/>
    </row>
    <row r="17" spans="1:8" x14ac:dyDescent="0.2">
      <c r="A17" s="25">
        <v>15</v>
      </c>
      <c r="B17" s="29" t="s">
        <v>62</v>
      </c>
      <c r="C17" s="30">
        <v>15.9</v>
      </c>
      <c r="D17" s="75">
        <v>16</v>
      </c>
      <c r="E17" s="8">
        <f>($C$17)-$D$17</f>
        <v>-9.9999999999999645E-2</v>
      </c>
      <c r="F17" s="75">
        <v>17.3</v>
      </c>
      <c r="G17" s="8">
        <f>($C$17)-$F$17</f>
        <v>-1.4000000000000004</v>
      </c>
      <c r="H17" s="25"/>
    </row>
    <row r="18" spans="1:8" x14ac:dyDescent="0.2">
      <c r="A18" s="25">
        <v>16</v>
      </c>
      <c r="B18" s="29" t="s">
        <v>63</v>
      </c>
      <c r="C18" s="30">
        <v>14.9</v>
      </c>
      <c r="D18" s="75">
        <v>14.7</v>
      </c>
      <c r="E18" s="8">
        <f>($C$18)-$D$18</f>
        <v>0.20000000000000107</v>
      </c>
      <c r="F18" s="75">
        <v>16.5</v>
      </c>
      <c r="G18" s="8">
        <f>($C$18)-$F$18</f>
        <v>-1.5999999999999996</v>
      </c>
      <c r="H18" s="25"/>
    </row>
    <row r="19" spans="1:8" x14ac:dyDescent="0.2">
      <c r="A19" s="25">
        <v>17</v>
      </c>
      <c r="B19" s="29" t="s">
        <v>64</v>
      </c>
      <c r="C19" s="30">
        <v>13.1</v>
      </c>
      <c r="D19" s="75">
        <v>13</v>
      </c>
      <c r="E19" s="8">
        <f>($C$19)-$D$19</f>
        <v>9.9999999999999645E-2</v>
      </c>
      <c r="F19" s="75">
        <v>14.4</v>
      </c>
      <c r="G19" s="8">
        <f>($C$19)-$F$19</f>
        <v>-1.3000000000000007</v>
      </c>
      <c r="H19" s="25"/>
    </row>
    <row r="20" spans="1:8" x14ac:dyDescent="0.2">
      <c r="A20" s="25">
        <v>18</v>
      </c>
      <c r="B20" s="29" t="s">
        <v>65</v>
      </c>
      <c r="C20" s="30">
        <v>10.3</v>
      </c>
      <c r="D20" s="75">
        <v>10.4</v>
      </c>
      <c r="E20" s="8">
        <f>($C$20)-$D$20</f>
        <v>-9.9999999999999645E-2</v>
      </c>
      <c r="F20" s="75">
        <v>11.7</v>
      </c>
      <c r="G20" s="8">
        <f>($C$20)-$F$20</f>
        <v>-1.3999999999999986</v>
      </c>
      <c r="H20" s="25"/>
    </row>
    <row r="21" spans="1:8" x14ac:dyDescent="0.2">
      <c r="A21" s="25">
        <v>19</v>
      </c>
      <c r="B21" s="29" t="s">
        <v>66</v>
      </c>
      <c r="C21" s="30">
        <v>7.4</v>
      </c>
      <c r="D21" s="75">
        <v>7.3</v>
      </c>
      <c r="E21" s="8">
        <f>($C$21)-$D$21</f>
        <v>0.10000000000000053</v>
      </c>
      <c r="F21" s="75">
        <v>8.5</v>
      </c>
      <c r="G21" s="8">
        <f>($C$21)-$F$21</f>
        <v>-1.0999999999999996</v>
      </c>
      <c r="H21" s="25"/>
    </row>
    <row r="22" spans="1:8" x14ac:dyDescent="0.2">
      <c r="A22" s="25">
        <v>20</v>
      </c>
      <c r="B22" s="29" t="s">
        <v>67</v>
      </c>
      <c r="C22" s="30">
        <v>8</v>
      </c>
      <c r="D22" s="75">
        <v>7.8</v>
      </c>
      <c r="E22" s="8">
        <f>($C$22)-$D$22</f>
        <v>0.20000000000000018</v>
      </c>
      <c r="F22" s="75">
        <v>7.6</v>
      </c>
      <c r="G22" s="8">
        <f>($C$22)-$F$22</f>
        <v>0.40000000000000036</v>
      </c>
      <c r="H22" s="25"/>
    </row>
    <row r="23" spans="1:8" x14ac:dyDescent="0.2">
      <c r="A23" s="25">
        <v>21</v>
      </c>
      <c r="B23" s="29" t="s">
        <v>68</v>
      </c>
      <c r="C23" s="30">
        <v>4.7</v>
      </c>
      <c r="D23" s="75">
        <v>4.5999999999999996</v>
      </c>
      <c r="E23" s="8">
        <f>($C$23)-$D$23</f>
        <v>0.10000000000000053</v>
      </c>
      <c r="F23" s="75">
        <v>4.7</v>
      </c>
      <c r="G23" s="8">
        <f>($C$23)-$F$23</f>
        <v>0</v>
      </c>
      <c r="H23" s="25"/>
    </row>
    <row r="24" spans="1:8" x14ac:dyDescent="0.2">
      <c r="A24" s="25">
        <v>22</v>
      </c>
      <c r="B24" s="29" t="s">
        <v>69</v>
      </c>
      <c r="C24" s="30">
        <v>16.3</v>
      </c>
      <c r="D24" s="75">
        <v>16.5</v>
      </c>
      <c r="E24" s="8">
        <f>($C$24)-$D$24</f>
        <v>-0.19999999999999929</v>
      </c>
      <c r="F24" s="75">
        <v>17.600000000000001</v>
      </c>
      <c r="G24" s="8">
        <f>($C$24)-$F$24</f>
        <v>-1.3000000000000007</v>
      </c>
      <c r="H24" s="25"/>
    </row>
    <row r="25" spans="1:8" x14ac:dyDescent="0.2">
      <c r="A25" s="25">
        <v>23</v>
      </c>
      <c r="B25" s="29" t="s">
        <v>70</v>
      </c>
      <c r="C25" s="30">
        <v>7.4</v>
      </c>
      <c r="D25" s="75">
        <v>7.4</v>
      </c>
      <c r="E25" s="8">
        <f>($C$25)-$D$25</f>
        <v>0</v>
      </c>
      <c r="F25" s="75">
        <v>7.1</v>
      </c>
      <c r="G25" s="8">
        <f>($C$25)-$F$25</f>
        <v>0.30000000000000071</v>
      </c>
      <c r="H25" s="25"/>
    </row>
    <row r="26" spans="1:8" x14ac:dyDescent="0.2">
      <c r="A26" s="25">
        <v>24</v>
      </c>
      <c r="B26" s="29" t="s">
        <v>71</v>
      </c>
      <c r="C26" s="35">
        <v>2.8</v>
      </c>
      <c r="D26" s="75">
        <v>2.9</v>
      </c>
      <c r="E26" s="8">
        <f>($C$26)-$D$26</f>
        <v>-0.10000000000000009</v>
      </c>
      <c r="F26" s="75">
        <v>2.4</v>
      </c>
      <c r="G26" s="8">
        <f>($C$26)-$F$26</f>
        <v>0.39999999999999991</v>
      </c>
      <c r="H26" s="25"/>
    </row>
    <row r="27" spans="1:8" x14ac:dyDescent="0.2">
      <c r="A27" s="25">
        <v>25</v>
      </c>
      <c r="B27" s="29" t="s">
        <v>72</v>
      </c>
      <c r="C27" s="30">
        <v>9.8000000000000007</v>
      </c>
      <c r="D27" s="75">
        <v>9.9</v>
      </c>
      <c r="E27" s="8">
        <f>($C$27)-$D$27</f>
        <v>-9.9999999999999645E-2</v>
      </c>
      <c r="F27" s="75">
        <v>9.1999999999999993</v>
      </c>
      <c r="G27" s="8">
        <f>($C$27)-$F$27</f>
        <v>0.60000000000000142</v>
      </c>
      <c r="H27" s="25"/>
    </row>
    <row r="28" spans="1:8" x14ac:dyDescent="0.2">
      <c r="A28" s="25">
        <v>26</v>
      </c>
      <c r="B28" s="29" t="s">
        <v>73</v>
      </c>
      <c r="C28" s="30">
        <v>4.0999999999999996</v>
      </c>
      <c r="D28" s="75">
        <v>4.2</v>
      </c>
      <c r="E28" s="8">
        <f>($C$28)-$D$28</f>
        <v>-0.10000000000000053</v>
      </c>
      <c r="F28" s="75">
        <v>4.3</v>
      </c>
      <c r="G28" s="8">
        <f>($C$28)-$F$28</f>
        <v>-0.20000000000000018</v>
      </c>
      <c r="H28" s="25"/>
    </row>
    <row r="29" spans="1:8" x14ac:dyDescent="0.2">
      <c r="A29" s="25">
        <v>27</v>
      </c>
      <c r="B29" s="29" t="s">
        <v>74</v>
      </c>
      <c r="C29" s="30">
        <v>7</v>
      </c>
      <c r="D29" s="185">
        <v>7</v>
      </c>
      <c r="E29" s="8">
        <f>($C$29)-$D$29</f>
        <v>0</v>
      </c>
      <c r="F29" s="75">
        <v>6.8</v>
      </c>
      <c r="G29" s="8">
        <f>($C$29)-$F$29</f>
        <v>0.20000000000000018</v>
      </c>
      <c r="H29" s="25"/>
    </row>
    <row r="30" spans="1:8" x14ac:dyDescent="0.2">
      <c r="B30" s="52" t="s">
        <v>151</v>
      </c>
      <c r="E30" s="28"/>
    </row>
    <row r="31" spans="1:8" x14ac:dyDescent="0.2">
      <c r="B31" s="167"/>
    </row>
  </sheetData>
  <printOptions horizontalCentered="1"/>
  <pageMargins left="0" right="0" top="0.70866141732283472" bottom="0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EE9B"/>
    <pageSetUpPr fitToPage="1"/>
  </sheetPr>
  <dimension ref="A1:H32"/>
  <sheetViews>
    <sheetView zoomScale="80" zoomScaleNormal="80" workbookViewId="0">
      <selection activeCell="B1" sqref="B1"/>
    </sheetView>
  </sheetViews>
  <sheetFormatPr defaultRowHeight="14.25" x14ac:dyDescent="0.2"/>
  <cols>
    <col min="1" max="1" width="4" style="25" customWidth="1"/>
    <col min="2" max="2" width="7" style="3" customWidth="1"/>
    <col min="3" max="3" width="31" style="3" customWidth="1"/>
    <col min="4" max="4" width="15.5703125" style="3" customWidth="1"/>
    <col min="5" max="5" width="15.28515625" style="3" customWidth="1"/>
    <col min="6" max="6" width="17.28515625" style="3" customWidth="1"/>
    <col min="7" max="7" width="15.7109375" style="3" customWidth="1"/>
    <col min="8" max="8" width="18.28515625" style="3" customWidth="1"/>
    <col min="9" max="17" width="9.140625" style="3"/>
    <col min="18" max="18" width="3.5703125" style="3" customWidth="1"/>
    <col min="19" max="16384" width="9.140625" style="3"/>
  </cols>
  <sheetData>
    <row r="1" spans="1:8" x14ac:dyDescent="0.2">
      <c r="B1" s="2" t="s">
        <v>88</v>
      </c>
    </row>
    <row r="2" spans="1:8" ht="15" x14ac:dyDescent="0.2">
      <c r="C2" s="20"/>
      <c r="D2" s="21"/>
    </row>
    <row r="3" spans="1:8" ht="57" x14ac:dyDescent="0.2">
      <c r="B3" s="62" t="s">
        <v>86</v>
      </c>
      <c r="C3" s="55" t="str">
        <f>T('4s.bezr.pow.'!B2)</f>
        <v>powiaty</v>
      </c>
      <c r="D3" s="55" t="str">
        <f>T('4s.bezr.pow.'!C2)</f>
        <v>Stopa bezrobocia stan na 31 X '23 r. w proc.*</v>
      </c>
      <c r="E3" s="55" t="str">
        <f>T('4s.bezr.pow.'!D2)</f>
        <v>Stopa bezrobocia stan na 30 IX '23 r. w proc. *</v>
      </c>
      <c r="F3" s="55" t="str">
        <f>T('4s.bezr.pow.'!E2)</f>
        <v>wzrost/spadek do poprzedniego miesiąca (pkt. proc.)</v>
      </c>
      <c r="G3" s="191" t="str">
        <f>T('4s.bezr.pow.'!F2)</f>
        <v>Stopa bezrobocia stan na 31 X '22 r. w proc.*</v>
      </c>
      <c r="H3" s="55" t="str">
        <f>T('4s.bezr.pow.'!G2)</f>
        <v>wzrost/spadek do początku roku (pkt. proc.)</v>
      </c>
    </row>
    <row r="4" spans="1:8" x14ac:dyDescent="0.2">
      <c r="A4" s="25">
        <v>1</v>
      </c>
      <c r="B4" s="6">
        <f>RANK('4s.bezr.pow.'!C3,'4s.bezr.pow.'!$C$3:'4s.bezr.pow.'!$C$29,1)+COUNTIF('4s.bezr.pow.'!$C$3:'4s.bezr.pow.'!C3,'4s.bezr.pow.'!C3)-1</f>
        <v>5</v>
      </c>
      <c r="C4" s="36" t="str">
        <f>INDEX('4s.bezr.pow.'!B3:G29,MATCH(1,B4:B30,0),1)</f>
        <v>Powiat m.Krosno</v>
      </c>
      <c r="D4" s="28">
        <f>INDEX('4s.bezr.pow.'!B3:G29,MATCH(1,B4:B30,0),2)</f>
        <v>2.8</v>
      </c>
      <c r="E4" s="75">
        <f>INDEX('4s.bezr.pow.'!B3:G29,MATCH(1,B4:B30,0),3)</f>
        <v>2.9</v>
      </c>
      <c r="F4" s="24">
        <f>INDEX('4s.bezr.pow.'!B3:G29,MATCH(1,B4:B30,0),4)</f>
        <v>-0.10000000000000009</v>
      </c>
      <c r="G4" s="75">
        <f>INDEX('4s.bezr.pow.'!B3:G29,MATCH(1,B4:B30,0),5)</f>
        <v>2.4</v>
      </c>
      <c r="H4" s="24">
        <f>INDEX('4s.bezr.pow.'!B3:G29,MATCH(1,B4:B30,0),6)</f>
        <v>0.39999999999999991</v>
      </c>
    </row>
    <row r="5" spans="1:8" x14ac:dyDescent="0.2">
      <c r="A5" s="25">
        <v>2</v>
      </c>
      <c r="B5" s="6">
        <f>RANK('4s.bezr.pow.'!C4,'4s.bezr.pow.'!$C$3:'4s.bezr.pow.'!$C$29,1)+COUNTIF('4s.bezr.pow.'!$C$3:'4s.bezr.pow.'!C4,'4s.bezr.pow.'!C4)-1</f>
        <v>13</v>
      </c>
      <c r="C5" s="5" t="str">
        <f>INDEX('4s.bezr.pow.'!B3:G29,MATCH(2,B4:B30,0),1)</f>
        <v>Powiat m.Rzeszów</v>
      </c>
      <c r="D5" s="8">
        <f>INDEX('4s.bezr.pow.'!B3:G29,MATCH(2,B4:B30,0),2)</f>
        <v>4.0999999999999996</v>
      </c>
      <c r="E5" s="75">
        <f>INDEX('4s.bezr.pow.'!B3:G29,MATCH(2,B4:B30,0),3)</f>
        <v>4.2</v>
      </c>
      <c r="F5" s="24">
        <f>INDEX('4s.bezr.pow.'!B3:G29,MATCH(2,B4:B30,0),4)</f>
        <v>-0.10000000000000053</v>
      </c>
      <c r="G5" s="75">
        <f>INDEX('4s.bezr.pow.'!B3:G29,MATCH(2,B4:B30,0),5)</f>
        <v>4.3</v>
      </c>
      <c r="H5" s="24">
        <f>INDEX('4s.bezr.pow.'!B3:G29,MATCH(2,B4:B30,0),6)</f>
        <v>-0.20000000000000018</v>
      </c>
    </row>
    <row r="6" spans="1:8" x14ac:dyDescent="0.2">
      <c r="A6" s="25">
        <v>3</v>
      </c>
      <c r="B6" s="6">
        <f>RANK('4s.bezr.pow.'!C5,'4s.bezr.pow.'!$C$3:'4s.bezr.pow.'!$C$29,1)+COUNTIF('4s.bezr.pow.'!$C$3:'4s.bezr.pow.'!C5,'4s.bezr.pow.'!C5)-1</f>
        <v>22</v>
      </c>
      <c r="C6" s="5" t="str">
        <f>INDEX('4s.bezr.pow.'!B3:G29,MATCH(3,B4:B30,0),1)</f>
        <v>Powiat dębicki</v>
      </c>
      <c r="D6" s="8">
        <f>INDEX('4s.bezr.pow.'!B3:G29,MATCH(3,B4:B30,0),2)</f>
        <v>4.5999999999999996</v>
      </c>
      <c r="E6" s="75">
        <f>INDEX('4s.bezr.pow.'!B3:G29,MATCH(3,B4:B30,0),3)</f>
        <v>4.5</v>
      </c>
      <c r="F6" s="24">
        <f>INDEX('4s.bezr.pow.'!B3:G29,MATCH(3,B4:B30,0),4)</f>
        <v>9.9999999999999645E-2</v>
      </c>
      <c r="G6" s="75">
        <f>INDEX('4s.bezr.pow.'!B3:G29,MATCH(3,B4:B30,0),5)</f>
        <v>4.5999999999999996</v>
      </c>
      <c r="H6" s="24">
        <f>INDEX('4s.bezr.pow.'!B3:G29,MATCH(3,B4:B30,0),6)</f>
        <v>0</v>
      </c>
    </row>
    <row r="7" spans="1:8" x14ac:dyDescent="0.2">
      <c r="A7" s="25">
        <v>4</v>
      </c>
      <c r="B7" s="6">
        <f>RANK('4s.bezr.pow.'!C6,'4s.bezr.pow.'!$C$3:'4s.bezr.pow.'!$C$29,1)+COUNTIF('4s.bezr.pow.'!$C$3:'4s.bezr.pow.'!C6,'4s.bezr.pow.'!C6)-1</f>
        <v>27</v>
      </c>
      <c r="C7" s="5" t="str">
        <f>INDEX('4s.bezr.pow.'!B3:G29,MATCH(4,B4:B30,0),1)</f>
        <v>Powiat stalowowolski</v>
      </c>
      <c r="D7" s="8">
        <f>INDEX('4s.bezr.pow.'!B3:G29,MATCH(4,B4:B30,0),2)</f>
        <v>4.7</v>
      </c>
      <c r="E7" s="75">
        <f>INDEX('4s.bezr.pow.'!B3:G29,MATCH(4,B4:B30,0),3)</f>
        <v>4.5999999999999996</v>
      </c>
      <c r="F7" s="24">
        <f>INDEX('4s.bezr.pow.'!B3:G29,MATCH(4,B4:B30,0),4)</f>
        <v>0.10000000000000053</v>
      </c>
      <c r="G7" s="75">
        <f>INDEX('4s.bezr.pow.'!B3:G29,MATCH(4,B4:B30,0),5)</f>
        <v>4.7</v>
      </c>
      <c r="H7" s="24">
        <f>INDEX('4s.bezr.pow.'!B3:G29,MATCH(4,B4:B30,0),6)</f>
        <v>0</v>
      </c>
    </row>
    <row r="8" spans="1:8" x14ac:dyDescent="0.2">
      <c r="A8" s="25">
        <v>5</v>
      </c>
      <c r="B8" s="6">
        <f>RANK('4s.bezr.pow.'!C7,'4s.bezr.pow.'!$C$3:'4s.bezr.pow.'!$C$29,1)+COUNTIF('4s.bezr.pow.'!$C$3:'4s.bezr.pow.'!C7,'4s.bezr.pow.'!C7)-1</f>
        <v>3</v>
      </c>
      <c r="C8" s="5" t="str">
        <f>INDEX('4s.bezr.pow.'!B3:G29,MATCH(5,B4:B30,0),1)</f>
        <v>POLSKA</v>
      </c>
      <c r="D8" s="8">
        <f>INDEX('4s.bezr.pow.'!B3:G29,MATCH(5,B4:B30,0),2)</f>
        <v>5</v>
      </c>
      <c r="E8" s="75">
        <f>INDEX('4s.bezr.pow.'!B3:G29,MATCH(5,B4:B30,0),3)</f>
        <v>5</v>
      </c>
      <c r="F8" s="24">
        <f>INDEX('4s.bezr.pow.'!B3:G29,MATCH(5,B4:B30,0),4)</f>
        <v>0</v>
      </c>
      <c r="G8" s="75">
        <f>INDEX('4s.bezr.pow.'!B3:G29,MATCH(5,B4:B30,0),5)</f>
        <v>5.0999999999999996</v>
      </c>
      <c r="H8" s="24">
        <f>INDEX('4s.bezr.pow.'!B3:G29,MATCH(5,B4:B30,0),6)</f>
        <v>-9.9999999999999645E-2</v>
      </c>
    </row>
    <row r="9" spans="1:8" x14ac:dyDescent="0.2">
      <c r="A9" s="25">
        <v>6</v>
      </c>
      <c r="B9" s="6">
        <f>RANK('4s.bezr.pow.'!C8,'4s.bezr.pow.'!$C$3:'4s.bezr.pow.'!$C$29,1)+COUNTIF('4s.bezr.pow.'!$C$3:'4s.bezr.pow.'!C8,'4s.bezr.pow.'!C8)-1</f>
        <v>17</v>
      </c>
      <c r="C9" s="5" t="str">
        <f>INDEX('4s.bezr.pow.'!B3:G29,MATCH(6,B4:B30,0),1)</f>
        <v>Powiat mielecki</v>
      </c>
      <c r="D9" s="8">
        <f>INDEX('4s.bezr.pow.'!B3:G29,MATCH(6,B4:B30,0),2)</f>
        <v>5.0999999999999996</v>
      </c>
      <c r="E9" s="75">
        <f>INDEX('4s.bezr.pow.'!B3:G29,MATCH(6,B4:B30,0),3)</f>
        <v>5.0999999999999996</v>
      </c>
      <c r="F9" s="24">
        <f>INDEX('4s.bezr.pow.'!B3:G29,MATCH(6,B4:B30,0),4)</f>
        <v>0</v>
      </c>
      <c r="G9" s="75">
        <f>INDEX('4s.bezr.pow.'!B3:G29,MATCH(6,B4:B30,0),5)</f>
        <v>4.5</v>
      </c>
      <c r="H9" s="24">
        <f>INDEX('4s.bezr.pow.'!B3:G29,MATCH(6,B4:B30,0),6)</f>
        <v>0.59999999999999964</v>
      </c>
    </row>
    <row r="10" spans="1:8" x14ac:dyDescent="0.2">
      <c r="A10" s="25">
        <v>7</v>
      </c>
      <c r="B10" s="6">
        <f>RANK('4s.bezr.pow.'!C9,'4s.bezr.pow.'!$C$3:'4s.bezr.pow.'!$C$29,1)+COUNTIF('4s.bezr.pow.'!$C$3:'4s.bezr.pow.'!C9,'4s.bezr.pow.'!C9)-1</f>
        <v>19</v>
      </c>
      <c r="C10" s="9" t="str">
        <f>INDEX('4s.bezr.pow.'!B3:G29,MATCH(7,B4:B30,0),1)</f>
        <v>Powiat m.Tarnobrzeg</v>
      </c>
      <c r="D10" s="8">
        <f>INDEX('4s.bezr.pow.'!B3:G29,MATCH(7,B4:B30,0),2)</f>
        <v>7</v>
      </c>
      <c r="E10" s="75">
        <f>INDEX('4s.bezr.pow.'!B3:G29,MATCH(7,B4:B30,0),3)</f>
        <v>7</v>
      </c>
      <c r="F10" s="24">
        <f>INDEX('4s.bezr.pow.'!B3:G29,MATCH(7,B4:B30,0),4)</f>
        <v>0</v>
      </c>
      <c r="G10" s="75">
        <f>INDEX('4s.bezr.pow.'!B3:G29,MATCH(7,B4:B30,0),5)</f>
        <v>6.8</v>
      </c>
      <c r="H10" s="24">
        <f>INDEX('4s.bezr.pow.'!B3:G29,MATCH(7,B4:B30,0),6)</f>
        <v>0.20000000000000018</v>
      </c>
    </row>
    <row r="11" spans="1:8" x14ac:dyDescent="0.2">
      <c r="A11" s="25">
        <v>8</v>
      </c>
      <c r="B11" s="6">
        <f>RANK('4s.bezr.pow.'!C10,'4s.bezr.pow.'!$C$3:'4s.bezr.pow.'!$C$29,1)+COUNTIF('4s.bezr.pow.'!$C$3:'4s.bezr.pow.'!C10,'4s.bezr.pow.'!C10)-1</f>
        <v>10</v>
      </c>
      <c r="C11" s="5" t="str">
        <f>INDEX('4s.bezr.pow.'!B3:G29,MATCH(8,B4:B30,0),1)</f>
        <v>Powiat rzeszowski</v>
      </c>
      <c r="D11" s="8">
        <f>INDEX('4s.bezr.pow.'!B3:G29,MATCH(8,B4:B30,0),2)</f>
        <v>7.4</v>
      </c>
      <c r="E11" s="75">
        <f>INDEX('4s.bezr.pow.'!B3:G29,MATCH(8,B4:B30,0),3)</f>
        <v>7.3</v>
      </c>
      <c r="F11" s="24">
        <f>INDEX('4s.bezr.pow.'!B3:G29,MATCH(8,B4:B30,0),4)</f>
        <v>0.10000000000000053</v>
      </c>
      <c r="G11" s="75">
        <f>INDEX('4s.bezr.pow.'!B3:G29,MATCH(8,B4:B30,0),5)</f>
        <v>8.5</v>
      </c>
      <c r="H11" s="24">
        <f>INDEX('4s.bezr.pow.'!B3:G29,MATCH(8,B4:B30,0),6)</f>
        <v>-1.0999999999999996</v>
      </c>
    </row>
    <row r="12" spans="1:8" x14ac:dyDescent="0.2">
      <c r="A12" s="25">
        <v>9</v>
      </c>
      <c r="B12" s="6">
        <f>RANK('4s.bezr.pow.'!C11,'4s.bezr.pow.'!$C$3:'4s.bezr.pow.'!$C$29,1)+COUNTIF('4s.bezr.pow.'!$C$3:'4s.bezr.pow.'!C11,'4s.bezr.pow.'!C11)-1</f>
        <v>11</v>
      </c>
      <c r="C12" s="5" t="str">
        <f>INDEX('4s.bezr.pow.'!B3:G29,MATCH(9,B4:B30,0),1)</f>
        <v>Powiat tarnobrzeski</v>
      </c>
      <c r="D12" s="8">
        <f>INDEX('4s.bezr.pow.'!B3:G29,MATCH(9,B4:B30,0),2)</f>
        <v>7.4</v>
      </c>
      <c r="E12" s="75">
        <f>INDEX('4s.bezr.pow.'!B3:G29,MATCH(9,B4:B30,0),3)</f>
        <v>7.4</v>
      </c>
      <c r="F12" s="24">
        <f>INDEX('4s.bezr.pow.'!B3:G29,MATCH(9,B4:B30,0),4)</f>
        <v>0</v>
      </c>
      <c r="G12" s="75">
        <f>INDEX('4s.bezr.pow.'!B3:G29,MATCH(9,B4:B30,0),5)</f>
        <v>7.1</v>
      </c>
      <c r="H12" s="24">
        <f>INDEX('4s.bezr.pow.'!B3:G29,MATCH(9,B4:B30,0),6)</f>
        <v>0.30000000000000071</v>
      </c>
    </row>
    <row r="13" spans="1:8" x14ac:dyDescent="0.2">
      <c r="A13" s="25">
        <v>10</v>
      </c>
      <c r="B13" s="6">
        <f>RANK('4s.bezr.pow.'!C12,'4s.bezr.pow.'!$C$3:'4s.bezr.pow.'!$C$29,1)+COUNTIF('4s.bezr.pow.'!$C$3:'4s.bezr.pow.'!C12,'4s.bezr.pow.'!C12)-1</f>
        <v>26</v>
      </c>
      <c r="C13" s="5" t="str">
        <f>INDEX('4s.bezr.pow.'!B3:G29,MATCH(10,B4:B30,0),1)</f>
        <v>Powiat kolbuszowski</v>
      </c>
      <c r="D13" s="8">
        <f>INDEX('4s.bezr.pow.'!B3:G29,MATCH(10,B4:B30,0),2)</f>
        <v>7.5</v>
      </c>
      <c r="E13" s="75">
        <f>INDEX('4s.bezr.pow.'!B3:G29,MATCH(10,B4:B30,0),3)</f>
        <v>7.6</v>
      </c>
      <c r="F13" s="24">
        <f>INDEX('4s.bezr.pow.'!B3:G29,MATCH(10,B4:B30,0),4)</f>
        <v>-9.9999999999999645E-2</v>
      </c>
      <c r="G13" s="75">
        <f>INDEX('4s.bezr.pow.'!B3:G29,MATCH(10,B4:B30,0),5)</f>
        <v>8.1999999999999993</v>
      </c>
      <c r="H13" s="24">
        <f>INDEX('4s.bezr.pow.'!B3:G29,MATCH(10,B4:B30,0),6)</f>
        <v>-0.69999999999999929</v>
      </c>
    </row>
    <row r="14" spans="1:8" x14ac:dyDescent="0.2">
      <c r="A14" s="25">
        <v>11</v>
      </c>
      <c r="B14" s="6">
        <f>RANK('4s.bezr.pow.'!C13,'4s.bezr.pow.'!$C$3:'4s.bezr.pow.'!$C$29,1)+COUNTIF('4s.bezr.pow.'!$C$3:'4s.bezr.pow.'!C13,'4s.bezr.pow.'!C13)-1</f>
        <v>21</v>
      </c>
      <c r="C14" s="5" t="str">
        <f>INDEX('4s.bezr.pow.'!B3:G29,MATCH(11,B4:B30,0),1)</f>
        <v>Powiat krośnieński</v>
      </c>
      <c r="D14" s="8">
        <f>INDEX('4s.bezr.pow.'!B3:G29,MATCH(11,B4:B30,0),2)</f>
        <v>7.8</v>
      </c>
      <c r="E14" s="75">
        <f>INDEX('4s.bezr.pow.'!B3:G29,MATCH(11,B4:B30,0),3)</f>
        <v>7.8</v>
      </c>
      <c r="F14" s="24">
        <f>INDEX('4s.bezr.pow.'!B3:G29,MATCH(11,B4:B30,0),4)</f>
        <v>0</v>
      </c>
      <c r="G14" s="75">
        <f>INDEX('4s.bezr.pow.'!B3:G29,MATCH(11,B4:B30,0),5)</f>
        <v>7.1</v>
      </c>
      <c r="H14" s="24">
        <f>INDEX('4s.bezr.pow.'!B3:G29,MATCH(11,B4:B30,0),6)</f>
        <v>0.70000000000000018</v>
      </c>
    </row>
    <row r="15" spans="1:8" x14ac:dyDescent="0.2">
      <c r="A15" s="25">
        <v>12</v>
      </c>
      <c r="B15" s="6">
        <f>RANK('4s.bezr.pow.'!C14,'4s.bezr.pow.'!$C$3:'4s.bezr.pow.'!$C$29,1)+COUNTIF('4s.bezr.pow.'!$C$3:'4s.bezr.pow.'!C14,'4s.bezr.pow.'!C14)-1</f>
        <v>15</v>
      </c>
      <c r="C15" s="37" t="str">
        <f>INDEX('4s.bezr.pow.'!B3:G29,MATCH(12,B4:B30,0),1)</f>
        <v>Powiat sanocki</v>
      </c>
      <c r="D15" s="8">
        <f>INDEX('4s.bezr.pow.'!B3:G29,MATCH(12,B4:B30,0),2)</f>
        <v>8</v>
      </c>
      <c r="E15" s="75">
        <f>INDEX('4s.bezr.pow.'!B3:G29,MATCH(12,B4:B30,0),3)</f>
        <v>7.8</v>
      </c>
      <c r="F15" s="24">
        <f>INDEX('4s.bezr.pow.'!B3:G29,MATCH(12,B4:B30,0),4)</f>
        <v>0.20000000000000018</v>
      </c>
      <c r="G15" s="75">
        <f>INDEX('4s.bezr.pow.'!B3:G29,MATCH(12,B4:B30,0),5)</f>
        <v>7.6</v>
      </c>
      <c r="H15" s="24">
        <f>INDEX('4s.bezr.pow.'!B3:G29,MATCH(12,B4:B30,0),6)</f>
        <v>0.40000000000000036</v>
      </c>
    </row>
    <row r="16" spans="1:8" x14ac:dyDescent="0.2">
      <c r="A16" s="25">
        <v>13</v>
      </c>
      <c r="B16" s="6">
        <f>RANK('4s.bezr.pow.'!C15,'4s.bezr.pow.'!$C$3:'4s.bezr.pow.'!$C$29,1)+COUNTIF('4s.bezr.pow.'!$C$3:'4s.bezr.pow.'!C15,'4s.bezr.pow.'!C15)-1</f>
        <v>14</v>
      </c>
      <c r="C16" s="5" t="str">
        <f>INDEX('4s.bezr.pow.'!B3:G29,MATCH(13,B4:B30,0),1)</f>
        <v>PODKARPACKIE</v>
      </c>
      <c r="D16" s="8">
        <f>INDEX('4s.bezr.pow.'!B3:G29,MATCH(13,B4:B30,0),2)</f>
        <v>8.3000000000000007</v>
      </c>
      <c r="E16" s="75">
        <f>INDEX('4s.bezr.pow.'!B3:G29,MATCH(13,B4:B30,0),3)</f>
        <v>8.3000000000000007</v>
      </c>
      <c r="F16" s="24">
        <f>INDEX('4s.bezr.pow.'!B3:G29,MATCH(13,B4:B30,0),4)</f>
        <v>0</v>
      </c>
      <c r="G16" s="75">
        <f>INDEX('4s.bezr.pow.'!B3:G29,MATCH(13,B4:B30,0),5)</f>
        <v>8.6999999999999993</v>
      </c>
      <c r="H16" s="24">
        <f>INDEX('4s.bezr.pow.'!B3:G29,MATCH(13,B4:B30,0),6)</f>
        <v>-0.39999999999999858</v>
      </c>
    </row>
    <row r="17" spans="1:8" x14ac:dyDescent="0.2">
      <c r="A17" s="25">
        <v>14</v>
      </c>
      <c r="B17" s="6">
        <f>RANK('4s.bezr.pow.'!C16,'4s.bezr.pow.'!$C$3:'4s.bezr.pow.'!$C$29,1)+COUNTIF('4s.bezr.pow.'!$C$3:'4s.bezr.pow.'!C16,'4s.bezr.pow.'!C16)-1</f>
        <v>6</v>
      </c>
      <c r="C17" s="5" t="str">
        <f>INDEX('4s.bezr.pow.'!B3:G29,MATCH(14,B4:B30,0),1)</f>
        <v>Powiat łańcucki</v>
      </c>
      <c r="D17" s="8">
        <f>INDEX('4s.bezr.pow.'!B3:G29,MATCH(14,B4:B30,0),2)</f>
        <v>9</v>
      </c>
      <c r="E17" s="75">
        <f>INDEX('4s.bezr.pow.'!B3:G29,MATCH(14,B4:B30,0),3)</f>
        <v>9.1</v>
      </c>
      <c r="F17" s="24">
        <f>INDEX('4s.bezr.pow.'!B3:G29,MATCH(14,B4:B30,0),4)</f>
        <v>-9.9999999999999645E-2</v>
      </c>
      <c r="G17" s="75">
        <f>INDEX('4s.bezr.pow.'!B3:G29,MATCH(14,B4:B30,0),5)</f>
        <v>9.8000000000000007</v>
      </c>
      <c r="H17" s="24">
        <f>INDEX('4s.bezr.pow.'!B3:G29,MATCH(14,B4:B30,0),6)</f>
        <v>-0.80000000000000071</v>
      </c>
    </row>
    <row r="18" spans="1:8" x14ac:dyDescent="0.2">
      <c r="A18" s="25">
        <v>15</v>
      </c>
      <c r="B18" s="6">
        <f>RANK('4s.bezr.pow.'!C17,'4s.bezr.pow.'!$C$3:'4s.bezr.pow.'!$C$29,1)+COUNTIF('4s.bezr.pow.'!$C$3:'4s.bezr.pow.'!C17,'4s.bezr.pow.'!C17)-1</f>
        <v>24</v>
      </c>
      <c r="C18" s="5" t="str">
        <f>INDEX('4s.bezr.pow.'!B3:G29,MATCH(15,B4:B30,0),1)</f>
        <v>Powiat lubaczowski</v>
      </c>
      <c r="D18" s="8">
        <f>INDEX('4s.bezr.pow.'!B3:G29,MATCH(15,B4:B30,0),2)</f>
        <v>9.6</v>
      </c>
      <c r="E18" s="75">
        <f>INDEX('4s.bezr.pow.'!B3:G29,MATCH(15,B4:B30,0),3)</f>
        <v>9.4</v>
      </c>
      <c r="F18" s="24">
        <f>INDEX('4s.bezr.pow.'!B3:G29,MATCH(15,B4:B30,0),4)</f>
        <v>0.19999999999999929</v>
      </c>
      <c r="G18" s="75">
        <f>INDEX('4s.bezr.pow.'!B3:G29,MATCH(15,B4:B30,0),5)</f>
        <v>10.6</v>
      </c>
      <c r="H18" s="24">
        <f>INDEX('4s.bezr.pow.'!B3:G29,MATCH(15,B4:B30,0),6)</f>
        <v>-1</v>
      </c>
    </row>
    <row r="19" spans="1:8" x14ac:dyDescent="0.2">
      <c r="A19" s="25">
        <v>16</v>
      </c>
      <c r="B19" s="6">
        <f>RANK('4s.bezr.pow.'!C18,'4s.bezr.pow.'!$C$3:'4s.bezr.pow.'!$C$29,1)+COUNTIF('4s.bezr.pow.'!$C$3:'4s.bezr.pow.'!C18,'4s.bezr.pow.'!C18)-1</f>
        <v>23</v>
      </c>
      <c r="C19" s="5" t="str">
        <f>INDEX('4s.bezr.pow.'!B3:G29,MATCH(16,B4:B30,0),1)</f>
        <v>Powiat m.Przemyśl</v>
      </c>
      <c r="D19" s="8">
        <f>INDEX('4s.bezr.pow.'!B3:G29,MATCH(16,B4:B30,0),2)</f>
        <v>9.8000000000000007</v>
      </c>
      <c r="E19" s="75">
        <f>INDEX('4s.bezr.pow.'!B3:G29,MATCH(16,B4:B30,0),3)</f>
        <v>9.9</v>
      </c>
      <c r="F19" s="24">
        <f>INDEX('4s.bezr.pow.'!B3:G29,MATCH(16,B4:B30,0),4)</f>
        <v>-9.9999999999999645E-2</v>
      </c>
      <c r="G19" s="75">
        <f>INDEX('4s.bezr.pow.'!B3:G29,MATCH(16,B4:B30,0),5)</f>
        <v>9.1999999999999993</v>
      </c>
      <c r="H19" s="24">
        <f>INDEX('4s.bezr.pow.'!B3:G29,MATCH(16,B4:B30,0),6)</f>
        <v>0.60000000000000142</v>
      </c>
    </row>
    <row r="20" spans="1:8" x14ac:dyDescent="0.2">
      <c r="A20" s="25">
        <v>17</v>
      </c>
      <c r="B20" s="6">
        <f>RANK('4s.bezr.pow.'!C19,'4s.bezr.pow.'!$C$3:'4s.bezr.pow.'!$C$29,1)+COUNTIF('4s.bezr.pow.'!$C$3:'4s.bezr.pow.'!C19,'4s.bezr.pow.'!C19)-1</f>
        <v>20</v>
      </c>
      <c r="C20" s="5" t="str">
        <f>INDEX('4s.bezr.pow.'!B3:G29,MATCH(17,B4:B30,0),1)</f>
        <v>Powiat jarosławski</v>
      </c>
      <c r="D20" s="8">
        <f>INDEX('4s.bezr.pow.'!B3:G29,MATCH(17,B4:B30,0),2)</f>
        <v>10.3</v>
      </c>
      <c r="E20" s="75">
        <f>INDEX('4s.bezr.pow.'!B3:G29,MATCH(17,B4:B30,0),3)</f>
        <v>10.4</v>
      </c>
      <c r="F20" s="24">
        <f>INDEX('4s.bezr.pow.'!B3:G29,MATCH(17,B4:B30,0),4)</f>
        <v>-9.9999999999999645E-2</v>
      </c>
      <c r="G20" s="75">
        <f>INDEX('4s.bezr.pow.'!B3:G29,MATCH(17,B4:B30,0),5)</f>
        <v>11.5</v>
      </c>
      <c r="H20" s="24">
        <f>INDEX('4s.bezr.pow.'!B3:G29,MATCH(17,B4:B30,0),6)</f>
        <v>-1.1999999999999993</v>
      </c>
    </row>
    <row r="21" spans="1:8" x14ac:dyDescent="0.2">
      <c r="A21" s="25">
        <v>18</v>
      </c>
      <c r="B21" s="6">
        <f>RANK('4s.bezr.pow.'!C20,'4s.bezr.pow.'!$C$3:'4s.bezr.pow.'!$C$29,1)+COUNTIF('4s.bezr.pow.'!$C$3:'4s.bezr.pow.'!C20,'4s.bezr.pow.'!C20)-1</f>
        <v>18</v>
      </c>
      <c r="C21" s="5" t="str">
        <f>INDEX('4s.bezr.pow.'!B3:G29,MATCH(18,B4:B30,0),1)</f>
        <v>Powiat ropczycko-sędziszowski</v>
      </c>
      <c r="D21" s="8">
        <f>INDEX('4s.bezr.pow.'!B3:G29,MATCH(18,B4:B30,0),2)</f>
        <v>10.3</v>
      </c>
      <c r="E21" s="75">
        <f>INDEX('4s.bezr.pow.'!B3:G29,MATCH(18,B4:B30,0),3)</f>
        <v>10.4</v>
      </c>
      <c r="F21" s="24">
        <f>INDEX('4s.bezr.pow.'!B3:G29,MATCH(18,B4:B30,0),4)</f>
        <v>-9.9999999999999645E-2</v>
      </c>
      <c r="G21" s="75">
        <f>INDEX('4s.bezr.pow.'!B3:G29,MATCH(18,B4:B30,0),5)</f>
        <v>11.7</v>
      </c>
      <c r="H21" s="24">
        <f>INDEX('4s.bezr.pow.'!B3:G29,MATCH(18,B4:B30,0),6)</f>
        <v>-1.3999999999999986</v>
      </c>
    </row>
    <row r="22" spans="1:8" x14ac:dyDescent="0.2">
      <c r="A22" s="25">
        <v>19</v>
      </c>
      <c r="B22" s="6">
        <f>RANK('4s.bezr.pow.'!C21,'4s.bezr.pow.'!$C$3:'4s.bezr.pow.'!$C$29,1)+COUNTIF('4s.bezr.pow.'!$C$3:'4s.bezr.pow.'!C21,'4s.bezr.pow.'!C21)-1</f>
        <v>8</v>
      </c>
      <c r="C22" s="5" t="str">
        <f>INDEX('4s.bezr.pow.'!B3:G29,MATCH(19,B4:B30,0),1)</f>
        <v>Powiat jasielski</v>
      </c>
      <c r="D22" s="8">
        <f>INDEX('4s.bezr.pow.'!B3:G29,MATCH(19,B4:B30,0),2)</f>
        <v>12.6</v>
      </c>
      <c r="E22" s="75">
        <f>INDEX('4s.bezr.pow.'!B3:G29,MATCH(19,B4:B30,0),3)</f>
        <v>12.4</v>
      </c>
      <c r="F22" s="24">
        <f>INDEX('4s.bezr.pow.'!B3:G29,MATCH(19,B4:B30,0),4)</f>
        <v>0.19999999999999929</v>
      </c>
      <c r="G22" s="75">
        <f>INDEX('4s.bezr.pow.'!B3:G29,MATCH(19,B4:B30,0),5)</f>
        <v>12.5</v>
      </c>
      <c r="H22" s="24">
        <f>INDEX('4s.bezr.pow.'!B3:G29,MATCH(19,B4:B30,0),6)</f>
        <v>9.9999999999999645E-2</v>
      </c>
    </row>
    <row r="23" spans="1:8" x14ac:dyDescent="0.2">
      <c r="A23" s="25">
        <v>20</v>
      </c>
      <c r="B23" s="6">
        <f>RANK('4s.bezr.pow.'!C22,'4s.bezr.pow.'!$C$3:'4s.bezr.pow.'!$C$29,1)+COUNTIF('4s.bezr.pow.'!$C$3:'4s.bezr.pow.'!C22,'4s.bezr.pow.'!C22)-1</f>
        <v>12</v>
      </c>
      <c r="C23" s="5" t="str">
        <f>INDEX('4s.bezr.pow.'!B3:G29,MATCH(20,B4:B30,0),1)</f>
        <v>Powiat przeworski</v>
      </c>
      <c r="D23" s="8">
        <f>INDEX('4s.bezr.pow.'!B3:G29,MATCH(20,B4:B30,0),2)</f>
        <v>13.1</v>
      </c>
      <c r="E23" s="75">
        <f>INDEX('4s.bezr.pow.'!B3:G29,MATCH(20,B4:B30,0),3)</f>
        <v>13</v>
      </c>
      <c r="F23" s="24">
        <f>INDEX('4s.bezr.pow.'!B3:G29,MATCH(20,B4:B30,0),4)</f>
        <v>9.9999999999999645E-2</v>
      </c>
      <c r="G23" s="75">
        <f>INDEX('4s.bezr.pow.'!B3:G29,MATCH(20,B4:B30,0),5)</f>
        <v>14.4</v>
      </c>
      <c r="H23" s="24">
        <f>INDEX('4s.bezr.pow.'!B3:G29,MATCH(20,B4:B30,0),6)</f>
        <v>-1.3000000000000007</v>
      </c>
    </row>
    <row r="24" spans="1:8" x14ac:dyDescent="0.2">
      <c r="A24" s="25">
        <v>21</v>
      </c>
      <c r="B24" s="6">
        <f>RANK('4s.bezr.pow.'!C23,'4s.bezr.pow.'!$C$3:'4s.bezr.pow.'!$C$29,1)+COUNTIF('4s.bezr.pow.'!$C$3:'4s.bezr.pow.'!C23,'4s.bezr.pow.'!C23)-1</f>
        <v>4</v>
      </c>
      <c r="C24" s="5" t="str">
        <f>INDEX('4s.bezr.pow.'!B3:G29,MATCH(21,B4:B30,0),1)</f>
        <v>Powiat leżajski</v>
      </c>
      <c r="D24" s="8">
        <f>INDEX('4s.bezr.pow.'!B3:G29,MATCH(21,B4:B30,0),2)</f>
        <v>13.8</v>
      </c>
      <c r="E24" s="75">
        <f>INDEX('4s.bezr.pow.'!B3:G29,MATCH(21,B4:B30,0),3)</f>
        <v>13.7</v>
      </c>
      <c r="F24" s="24">
        <f>INDEX('4s.bezr.pow.'!B3:G29,MATCH(21,B4:B30,0),4)</f>
        <v>0.10000000000000142</v>
      </c>
      <c r="G24" s="75">
        <f>INDEX('4s.bezr.pow.'!B3:G29,MATCH(21,B4:B30,0),5)</f>
        <v>15.1</v>
      </c>
      <c r="H24" s="24">
        <f>INDEX('4s.bezr.pow.'!B3:G29,MATCH(21,B4:B30,0),6)</f>
        <v>-1.2999999999999989</v>
      </c>
    </row>
    <row r="25" spans="1:8" x14ac:dyDescent="0.2">
      <c r="A25" s="25">
        <v>22</v>
      </c>
      <c r="B25" s="6">
        <f>RANK('4s.bezr.pow.'!C24,'4s.bezr.pow.'!$C$3:'4s.bezr.pow.'!$C$29,1)+COUNTIF('4s.bezr.pow.'!$C$3:'4s.bezr.pow.'!C24,'4s.bezr.pow.'!C24)-1</f>
        <v>25</v>
      </c>
      <c r="C25" s="5" t="str">
        <f>INDEX('4s.bezr.pow.'!B3:G29,MATCH(22,B4:B30,0),1)</f>
        <v>Powiat bieszczadzki</v>
      </c>
      <c r="D25" s="8">
        <f>INDEX('4s.bezr.pow.'!B3:G29,MATCH(22,B4:B30,0),2)</f>
        <v>14.3</v>
      </c>
      <c r="E25" s="75">
        <f>INDEX('4s.bezr.pow.'!B3:G29,MATCH(22,B4:B30,0),3)</f>
        <v>14</v>
      </c>
      <c r="F25" s="24">
        <f>INDEX('4s.bezr.pow.'!B3:G29,MATCH(22,B4:B30,0),4)</f>
        <v>0.30000000000000071</v>
      </c>
      <c r="G25" s="75">
        <f>INDEX('4s.bezr.pow.'!B3:G29,MATCH(22,B4:B30,0),5)</f>
        <v>15.2</v>
      </c>
      <c r="H25" s="24">
        <f>INDEX('4s.bezr.pow.'!B3:G29,MATCH(22,B4:B30,0),6)</f>
        <v>-0.89999999999999858</v>
      </c>
    </row>
    <row r="26" spans="1:8" x14ac:dyDescent="0.2">
      <c r="A26" s="25">
        <v>23</v>
      </c>
      <c r="B26" s="6">
        <f>RANK('4s.bezr.pow.'!C25,'4s.bezr.pow.'!$C$3:'4s.bezr.pow.'!$C$29,1)+COUNTIF('4s.bezr.pow.'!$C$3:'4s.bezr.pow.'!C25,'4s.bezr.pow.'!C25)-1</f>
        <v>9</v>
      </c>
      <c r="C26" s="5" t="str">
        <f>INDEX('4s.bezr.pow.'!B3:G29,MATCH(23,B4:B30,0),1)</f>
        <v>Powiat przemyski</v>
      </c>
      <c r="D26" s="8">
        <f>INDEX('4s.bezr.pow.'!B3:G29,MATCH(23,B4:B30,0),2)</f>
        <v>14.9</v>
      </c>
      <c r="E26" s="75">
        <f>INDEX('4s.bezr.pow.'!B3:G29,MATCH(23,B4:B30,0),3)</f>
        <v>14.7</v>
      </c>
      <c r="F26" s="24">
        <f>INDEX('4s.bezr.pow.'!B3:G29,MATCH(23,B4:B30,0),4)</f>
        <v>0.20000000000000107</v>
      </c>
      <c r="G26" s="75">
        <f>INDEX('4s.bezr.pow.'!B3:G29,MATCH(23,B4:B30,0),5)</f>
        <v>16.5</v>
      </c>
      <c r="H26" s="24">
        <f>INDEX('4s.bezr.pow.'!B3:G29,MATCH(23,B4:B30,0),6)</f>
        <v>-1.5999999999999996</v>
      </c>
    </row>
    <row r="27" spans="1:8" x14ac:dyDescent="0.2">
      <c r="A27" s="25">
        <v>24</v>
      </c>
      <c r="B27" s="6">
        <f>RANK('4s.bezr.pow.'!C26,'4s.bezr.pow.'!$C$3:'4s.bezr.pow.'!$C$29,1)+COUNTIF('4s.bezr.pow.'!$C$3:'4s.bezr.pow.'!C26,'4s.bezr.pow.'!C26)-1</f>
        <v>1</v>
      </c>
      <c r="C27" s="5" t="str">
        <f>INDEX('4s.bezr.pow.'!B3:G29,MATCH(24,B4:B30,0),1)</f>
        <v>Powiat niżański</v>
      </c>
      <c r="D27" s="8">
        <f>INDEX('4s.bezr.pow.'!B3:G29,MATCH(24,B4:B30,0),2)</f>
        <v>15.9</v>
      </c>
      <c r="E27" s="75">
        <f>INDEX('4s.bezr.pow.'!B3:G29,MATCH(24,B4:B30,0),3)</f>
        <v>16</v>
      </c>
      <c r="F27" s="24">
        <f>INDEX('4s.bezr.pow.'!B3:G29,MATCH(24,B4:B30,0),4)</f>
        <v>-9.9999999999999645E-2</v>
      </c>
      <c r="G27" s="75">
        <f>INDEX('4s.bezr.pow.'!B3:G29,MATCH(24,B4:B30,0),5)</f>
        <v>17.3</v>
      </c>
      <c r="H27" s="24">
        <f>INDEX('4s.bezr.pow.'!B3:G29,MATCH(24,B4:B30,0),6)</f>
        <v>-1.4000000000000004</v>
      </c>
    </row>
    <row r="28" spans="1:8" x14ac:dyDescent="0.2">
      <c r="A28" s="25">
        <v>25</v>
      </c>
      <c r="B28" s="6">
        <f>RANK('4s.bezr.pow.'!C27,'4s.bezr.pow.'!$C$3:'4s.bezr.pow.'!$C$29,1)+COUNTIF('4s.bezr.pow.'!$C$3:'4s.bezr.pow.'!C27,'4s.bezr.pow.'!C27)-1</f>
        <v>16</v>
      </c>
      <c r="C28" s="5" t="str">
        <f>INDEX('4s.bezr.pow.'!B3:G29,MATCH(25,B4:B30,0),1)</f>
        <v>Powiat strzyżowski</v>
      </c>
      <c r="D28" s="8">
        <f>INDEX('4s.bezr.pow.'!B3:G29,MATCH(25,B4:B30,0),2)</f>
        <v>16.3</v>
      </c>
      <c r="E28" s="75">
        <f>INDEX('4s.bezr.pow.'!B3:G29,MATCH(25,B4:B30,0),3)</f>
        <v>16.5</v>
      </c>
      <c r="F28" s="24">
        <f>INDEX('4s.bezr.pow.'!B3:G29,MATCH(25,B4:B30,0),4)</f>
        <v>-0.19999999999999929</v>
      </c>
      <c r="G28" s="75">
        <f>INDEX('4s.bezr.pow.'!B3:G29,MATCH(25,B4:B30,0),5)</f>
        <v>17.600000000000001</v>
      </c>
      <c r="H28" s="24">
        <f>INDEX('4s.bezr.pow.'!B3:G29,MATCH(25,B4:B30,0),6)</f>
        <v>-1.3000000000000007</v>
      </c>
    </row>
    <row r="29" spans="1:8" ht="15" x14ac:dyDescent="0.25">
      <c r="A29" s="25">
        <v>26</v>
      </c>
      <c r="B29" s="22">
        <f>RANK('4s.bezr.pow.'!C28,'4s.bezr.pow.'!$C$3:'4s.bezr.pow.'!$C$29,1)+COUNTIF('4s.bezr.pow.'!$C$3:'4s.bezr.pow.'!C28,'4s.bezr.pow.'!C28)-1</f>
        <v>2</v>
      </c>
      <c r="C29" s="23" t="str">
        <f>INDEX('4s.bezr.pow.'!B3:G29,MATCH(26,B4:B30,0),1)</f>
        <v>Powiat leski</v>
      </c>
      <c r="D29" s="34">
        <f>INDEX('4s.bezr.pow.'!B3:G29,MATCH(26,B4:B30,0),2)</f>
        <v>17.399999999999999</v>
      </c>
      <c r="E29" s="71">
        <f>INDEX('4s.bezr.pow.'!B3:G29,MATCH(26,B4:B30,0),3)</f>
        <v>17.100000000000001</v>
      </c>
      <c r="F29" s="38">
        <f>INDEX('4s.bezr.pow.'!B3:G29,MATCH(26,B4:B30,0),4)</f>
        <v>0.29999999999999716</v>
      </c>
      <c r="G29" s="71">
        <f>INDEX('4s.bezr.pow.'!B3:G29,MATCH(26,B4:B30,0),5)</f>
        <v>18.3</v>
      </c>
      <c r="H29" s="38">
        <f>INDEX('4s.bezr.pow.'!B3:G29,MATCH(26,B4:B30,0),6)</f>
        <v>-0.90000000000000213</v>
      </c>
    </row>
    <row r="30" spans="1:8" x14ac:dyDescent="0.2">
      <c r="A30" s="25">
        <v>27</v>
      </c>
      <c r="B30" s="39">
        <f>RANK('4s.bezr.pow.'!C29,'4s.bezr.pow.'!$C$3:'4s.bezr.pow.'!$C$29,1)+COUNTIF('4s.bezr.pow.'!$C$3:'4s.bezr.pow.'!C29,'4s.bezr.pow.'!C29)-1</f>
        <v>7</v>
      </c>
      <c r="C30" s="40" t="str">
        <f>INDEX('4s.bezr.pow.'!B3:G29,MATCH(27,B4:B30,0),1)</f>
        <v>Powiat brzozowski</v>
      </c>
      <c r="D30" s="8">
        <f>INDEX('4s.bezr.pow.'!B3:G29,MATCH(27,B4:B30,0),2)</f>
        <v>19.899999999999999</v>
      </c>
      <c r="E30" s="75">
        <f>INDEX('4s.bezr.pow.'!B3:G29,MATCH(27,B4:B30,0),3)</f>
        <v>19.8</v>
      </c>
      <c r="F30" s="8">
        <f>INDEX('4s.bezr.pow.'!B3:G29,MATCH(27,B4:B30,0),4)</f>
        <v>9.9999999999997868E-2</v>
      </c>
      <c r="G30" s="75">
        <f>INDEX('4s.bezr.pow.'!B3:G29,MATCH(27,B4:B30,0),5)</f>
        <v>20.6</v>
      </c>
      <c r="H30" s="8">
        <f>INDEX('4s.bezr.pow.'!B3:G29,MATCH(27,B4:B30,0),6)</f>
        <v>-0.70000000000000284</v>
      </c>
    </row>
    <row r="31" spans="1:8" x14ac:dyDescent="0.2">
      <c r="C31" s="52" t="str">
        <f>T('4s.bezr.pow.'!B30)</f>
        <v xml:space="preserve">* GUS, Bank Danych Lokalnych </v>
      </c>
    </row>
    <row r="32" spans="1:8" x14ac:dyDescent="0.2">
      <c r="C32" s="167"/>
    </row>
  </sheetData>
  <pageMargins left="0" right="0" top="0.31496062992125984" bottom="0" header="0" footer="0"/>
  <pageSetup paperSize="9" scale="6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C00"/>
    <pageSetUpPr fitToPage="1"/>
  </sheetPr>
  <dimension ref="A1:M30"/>
  <sheetViews>
    <sheetView zoomScale="80" zoomScaleNormal="80" workbookViewId="0">
      <selection activeCell="B1" sqref="B1"/>
    </sheetView>
  </sheetViews>
  <sheetFormatPr defaultRowHeight="14.25" x14ac:dyDescent="0.2"/>
  <cols>
    <col min="1" max="1" width="3.7109375" style="3" customWidth="1"/>
    <col min="2" max="2" width="25.28515625" style="3" customWidth="1"/>
    <col min="3" max="3" width="17.42578125" style="3" customWidth="1"/>
    <col min="4" max="4" width="17.85546875" style="3" customWidth="1"/>
    <col min="5" max="5" width="17.140625" style="3" customWidth="1"/>
    <col min="6" max="6" width="17.28515625" style="3" customWidth="1"/>
    <col min="7" max="7" width="17.5703125" style="3" customWidth="1"/>
    <col min="8" max="8" width="3" style="3" customWidth="1"/>
    <col min="9" max="9" width="24.5703125" style="3" customWidth="1"/>
    <col min="10" max="10" width="16" style="3" customWidth="1"/>
    <col min="11" max="11" width="17.42578125" style="3" customWidth="1"/>
    <col min="12" max="12" width="14.42578125" style="3" customWidth="1"/>
    <col min="13" max="14" width="3" style="3" customWidth="1"/>
    <col min="15" max="16384" width="9.140625" style="3"/>
  </cols>
  <sheetData>
    <row r="1" spans="1:12" ht="23.25" customHeight="1" x14ac:dyDescent="0.2">
      <c r="B1" s="2" t="s">
        <v>31</v>
      </c>
      <c r="I1" s="2" t="s">
        <v>84</v>
      </c>
    </row>
    <row r="2" spans="1:12" ht="86.25" customHeight="1" x14ac:dyDescent="0.2">
      <c r="B2" s="55" t="s">
        <v>27</v>
      </c>
      <c r="C2" s="56" t="s">
        <v>129</v>
      </c>
      <c r="D2" s="57" t="s">
        <v>128</v>
      </c>
      <c r="E2" s="56" t="s">
        <v>28</v>
      </c>
      <c r="F2" s="57" t="s">
        <v>130</v>
      </c>
      <c r="G2" s="56" t="s">
        <v>26</v>
      </c>
      <c r="I2" s="55" t="s">
        <v>27</v>
      </c>
      <c r="J2" s="56" t="str">
        <f>T('1bezr.'!C2)</f>
        <v>liczba bezrobotnych ogółem stan na 31 X '23 r.</v>
      </c>
      <c r="K2" s="56" t="str">
        <f>T(C2)</f>
        <v>liczba bezrobotnych zam. na wsi stan na 31 X '23 r.</v>
      </c>
      <c r="L2" s="56" t="s">
        <v>93</v>
      </c>
    </row>
    <row r="3" spans="1:12" x14ac:dyDescent="0.2">
      <c r="A3" s="3">
        <v>1</v>
      </c>
      <c r="B3" s="5" t="s">
        <v>0</v>
      </c>
      <c r="C3" s="13">
        <v>623</v>
      </c>
      <c r="D3" s="61">
        <v>599</v>
      </c>
      <c r="E3" s="6">
        <f t="shared" ref="E3:E23" si="0">SUM(C3)-D3</f>
        <v>24</v>
      </c>
      <c r="F3" s="61">
        <v>650</v>
      </c>
      <c r="G3" s="6">
        <f t="shared" ref="G3:G23" si="1">SUM(C3)-F3</f>
        <v>-27</v>
      </c>
      <c r="H3" s="7"/>
      <c r="I3" s="5" t="s">
        <v>0</v>
      </c>
      <c r="J3" s="6">
        <f>SUM('1bezr.'!C3)</f>
        <v>987</v>
      </c>
      <c r="K3" s="6">
        <f>SUM(C3)</f>
        <v>623</v>
      </c>
      <c r="L3" s="8">
        <f t="shared" ref="L3:L23" si="2">SUM(K3)/J3*100</f>
        <v>63.12056737588653</v>
      </c>
    </row>
    <row r="4" spans="1:12" x14ac:dyDescent="0.2">
      <c r="A4" s="3">
        <v>2</v>
      </c>
      <c r="B4" s="5" t="s">
        <v>1</v>
      </c>
      <c r="C4" s="14">
        <v>3352</v>
      </c>
      <c r="D4" s="61">
        <v>3310</v>
      </c>
      <c r="E4" s="6">
        <f t="shared" si="0"/>
        <v>42</v>
      </c>
      <c r="F4" s="61">
        <v>3578</v>
      </c>
      <c r="G4" s="6">
        <f t="shared" si="1"/>
        <v>-226</v>
      </c>
      <c r="H4" s="7"/>
      <c r="I4" s="5" t="s">
        <v>1</v>
      </c>
      <c r="J4" s="6">
        <f>SUM('1bezr.'!C4)</f>
        <v>3645</v>
      </c>
      <c r="K4" s="6">
        <f t="shared" ref="K4:K22" si="3">SUM(C4)</f>
        <v>3352</v>
      </c>
      <c r="L4" s="8">
        <f t="shared" si="2"/>
        <v>91.96159122085048</v>
      </c>
    </row>
    <row r="5" spans="1:12" x14ac:dyDescent="0.2">
      <c r="A5" s="3">
        <v>3</v>
      </c>
      <c r="B5" s="5" t="s">
        <v>2</v>
      </c>
      <c r="C5" s="15">
        <v>1386</v>
      </c>
      <c r="D5" s="61">
        <v>1369</v>
      </c>
      <c r="E5" s="6">
        <f t="shared" si="0"/>
        <v>17</v>
      </c>
      <c r="F5" s="61">
        <v>1442</v>
      </c>
      <c r="G5" s="6">
        <f t="shared" si="1"/>
        <v>-56</v>
      </c>
      <c r="H5" s="7"/>
      <c r="I5" s="5" t="s">
        <v>2</v>
      </c>
      <c r="J5" s="6">
        <f>SUM('1bezr.'!C5)</f>
        <v>2368</v>
      </c>
      <c r="K5" s="6">
        <f t="shared" si="3"/>
        <v>1386</v>
      </c>
      <c r="L5" s="8">
        <f t="shared" si="2"/>
        <v>58.530405405405403</v>
      </c>
    </row>
    <row r="6" spans="1:12" x14ac:dyDescent="0.2">
      <c r="A6" s="3">
        <v>4</v>
      </c>
      <c r="B6" s="5" t="s">
        <v>3</v>
      </c>
      <c r="C6" s="15">
        <v>2554</v>
      </c>
      <c r="D6" s="61">
        <v>2582</v>
      </c>
      <c r="E6" s="6">
        <f t="shared" si="0"/>
        <v>-28</v>
      </c>
      <c r="F6" s="61">
        <v>2875</v>
      </c>
      <c r="G6" s="6">
        <f t="shared" si="1"/>
        <v>-321</v>
      </c>
      <c r="H6" s="7"/>
      <c r="I6" s="5" t="s">
        <v>3</v>
      </c>
      <c r="J6" s="6">
        <f>SUM('1bezr.'!C6)</f>
        <v>4157</v>
      </c>
      <c r="K6" s="6">
        <f t="shared" si="3"/>
        <v>2554</v>
      </c>
      <c r="L6" s="8">
        <f t="shared" si="2"/>
        <v>61.43853740678373</v>
      </c>
    </row>
    <row r="7" spans="1:12" x14ac:dyDescent="0.2">
      <c r="A7" s="3">
        <v>5</v>
      </c>
      <c r="B7" s="5" t="s">
        <v>4</v>
      </c>
      <c r="C7" s="15">
        <v>3427</v>
      </c>
      <c r="D7" s="61">
        <v>3373</v>
      </c>
      <c r="E7" s="6">
        <f t="shared" si="0"/>
        <v>54</v>
      </c>
      <c r="F7" s="61">
        <v>3362</v>
      </c>
      <c r="G7" s="6">
        <f t="shared" si="1"/>
        <v>65</v>
      </c>
      <c r="H7" s="7"/>
      <c r="I7" s="5" t="s">
        <v>4</v>
      </c>
      <c r="J7" s="6">
        <f>SUM('1bezr.'!C7)</f>
        <v>4830</v>
      </c>
      <c r="K7" s="6">
        <f t="shared" si="3"/>
        <v>3427</v>
      </c>
      <c r="L7" s="8">
        <f t="shared" si="2"/>
        <v>70.952380952380949</v>
      </c>
    </row>
    <row r="8" spans="1:12" x14ac:dyDescent="0.2">
      <c r="A8" s="3">
        <v>6</v>
      </c>
      <c r="B8" s="5" t="s">
        <v>5</v>
      </c>
      <c r="C8" s="15">
        <v>1288</v>
      </c>
      <c r="D8" s="61">
        <v>1308</v>
      </c>
      <c r="E8" s="6">
        <f t="shared" si="0"/>
        <v>-20</v>
      </c>
      <c r="F8" s="61">
        <v>1329</v>
      </c>
      <c r="G8" s="6">
        <f t="shared" si="1"/>
        <v>-41</v>
      </c>
      <c r="H8" s="7"/>
      <c r="I8" s="5" t="s">
        <v>5</v>
      </c>
      <c r="J8" s="6">
        <f>SUM('1bezr.'!C8)</f>
        <v>1464</v>
      </c>
      <c r="K8" s="6">
        <f t="shared" si="3"/>
        <v>1288</v>
      </c>
      <c r="L8" s="8">
        <f t="shared" si="2"/>
        <v>87.978142076502735</v>
      </c>
    </row>
    <row r="9" spans="1:12" x14ac:dyDescent="0.2">
      <c r="A9" s="3">
        <v>7</v>
      </c>
      <c r="B9" s="9" t="s">
        <v>6</v>
      </c>
      <c r="C9" s="16">
        <v>1872</v>
      </c>
      <c r="D9" s="61">
        <v>1859</v>
      </c>
      <c r="E9" s="6">
        <f t="shared" si="0"/>
        <v>13</v>
      </c>
      <c r="F9" s="61">
        <v>1656</v>
      </c>
      <c r="G9" s="6">
        <f t="shared" si="1"/>
        <v>216</v>
      </c>
      <c r="H9" s="7"/>
      <c r="I9" s="9" t="s">
        <v>6</v>
      </c>
      <c r="J9" s="6">
        <f>SUM('1bezr.'!C9)</f>
        <v>2081</v>
      </c>
      <c r="K9" s="6">
        <f t="shared" si="3"/>
        <v>1872</v>
      </c>
      <c r="L9" s="8">
        <f t="shared" si="2"/>
        <v>89.956751561749158</v>
      </c>
    </row>
    <row r="10" spans="1:12" x14ac:dyDescent="0.2">
      <c r="A10" s="3">
        <v>8</v>
      </c>
      <c r="B10" s="5" t="s">
        <v>7</v>
      </c>
      <c r="C10" s="17">
        <v>1291</v>
      </c>
      <c r="D10" s="61">
        <v>1256</v>
      </c>
      <c r="E10" s="6">
        <f t="shared" si="0"/>
        <v>35</v>
      </c>
      <c r="F10" s="61">
        <v>1318</v>
      </c>
      <c r="G10" s="6">
        <f>SUM(C10)-F10</f>
        <v>-27</v>
      </c>
      <c r="H10" s="7"/>
      <c r="I10" s="5" t="s">
        <v>7</v>
      </c>
      <c r="J10" s="6">
        <f>SUM('1bezr.'!C10)</f>
        <v>1561</v>
      </c>
      <c r="K10" s="6">
        <f>SUM(C10)</f>
        <v>1291</v>
      </c>
      <c r="L10" s="8">
        <f t="shared" si="2"/>
        <v>82.703395259449081</v>
      </c>
    </row>
    <row r="11" spans="1:12" x14ac:dyDescent="0.2">
      <c r="A11" s="3">
        <v>9</v>
      </c>
      <c r="B11" s="5" t="s">
        <v>8</v>
      </c>
      <c r="C11" s="17">
        <v>2216</v>
      </c>
      <c r="D11" s="61">
        <v>2174</v>
      </c>
      <c r="E11" s="6">
        <f t="shared" si="0"/>
        <v>42</v>
      </c>
      <c r="F11" s="61">
        <v>2362</v>
      </c>
      <c r="G11" s="6">
        <f t="shared" si="1"/>
        <v>-146</v>
      </c>
      <c r="H11" s="7"/>
      <c r="I11" s="5" t="s">
        <v>8</v>
      </c>
      <c r="J11" s="6">
        <f>SUM('1bezr.'!C11)</f>
        <v>2921</v>
      </c>
      <c r="K11" s="6">
        <f t="shared" si="3"/>
        <v>2216</v>
      </c>
      <c r="L11" s="8">
        <f t="shared" si="2"/>
        <v>75.864429989729544</v>
      </c>
    </row>
    <row r="12" spans="1:12" x14ac:dyDescent="0.2">
      <c r="A12" s="3">
        <v>10</v>
      </c>
      <c r="B12" s="5" t="s">
        <v>9</v>
      </c>
      <c r="C12" s="17">
        <v>1105</v>
      </c>
      <c r="D12" s="61">
        <v>1068</v>
      </c>
      <c r="E12" s="6">
        <f t="shared" si="0"/>
        <v>37</v>
      </c>
      <c r="F12" s="61">
        <v>1143</v>
      </c>
      <c r="G12" s="6">
        <f t="shared" si="1"/>
        <v>-38</v>
      </c>
      <c r="H12" s="7"/>
      <c r="I12" s="5" t="s">
        <v>9</v>
      </c>
      <c r="J12" s="6">
        <f>SUM('1bezr.'!C12)</f>
        <v>1663</v>
      </c>
      <c r="K12" s="6">
        <f t="shared" si="3"/>
        <v>1105</v>
      </c>
      <c r="L12" s="8">
        <f t="shared" si="2"/>
        <v>66.446181599518937</v>
      </c>
    </row>
    <row r="13" spans="1:12" x14ac:dyDescent="0.2">
      <c r="A13" s="3">
        <v>11</v>
      </c>
      <c r="B13" s="5" t="s">
        <v>10</v>
      </c>
      <c r="C13" s="17">
        <v>1879</v>
      </c>
      <c r="D13" s="61">
        <v>1902</v>
      </c>
      <c r="E13" s="6">
        <f t="shared" si="0"/>
        <v>-23</v>
      </c>
      <c r="F13" s="61">
        <v>2025</v>
      </c>
      <c r="G13" s="6">
        <f t="shared" si="1"/>
        <v>-146</v>
      </c>
      <c r="H13" s="7"/>
      <c r="I13" s="5" t="s">
        <v>10</v>
      </c>
      <c r="J13" s="6">
        <f>SUM('1bezr.'!C13)</f>
        <v>2364</v>
      </c>
      <c r="K13" s="6">
        <f t="shared" si="3"/>
        <v>1879</v>
      </c>
      <c r="L13" s="8">
        <f t="shared" si="2"/>
        <v>79.483925549915398</v>
      </c>
    </row>
    <row r="14" spans="1:12" x14ac:dyDescent="0.2">
      <c r="A14" s="3">
        <v>12</v>
      </c>
      <c r="B14" s="5" t="s">
        <v>11</v>
      </c>
      <c r="C14" s="17">
        <v>1466</v>
      </c>
      <c r="D14" s="61">
        <v>1455</v>
      </c>
      <c r="E14" s="6">
        <f t="shared" si="0"/>
        <v>11</v>
      </c>
      <c r="F14" s="61">
        <v>1293</v>
      </c>
      <c r="G14" s="6">
        <f t="shared" si="1"/>
        <v>173</v>
      </c>
      <c r="H14" s="7"/>
      <c r="I14" s="5" t="s">
        <v>11</v>
      </c>
      <c r="J14" s="6">
        <f>SUM('1bezr.'!C14)</f>
        <v>2921</v>
      </c>
      <c r="K14" s="6">
        <f t="shared" si="3"/>
        <v>1466</v>
      </c>
      <c r="L14" s="8">
        <f t="shared" si="2"/>
        <v>50.188291680931187</v>
      </c>
    </row>
    <row r="15" spans="1:12" x14ac:dyDescent="0.2">
      <c r="A15" s="3">
        <v>13</v>
      </c>
      <c r="B15" s="5" t="s">
        <v>12</v>
      </c>
      <c r="C15" s="17">
        <v>1925</v>
      </c>
      <c r="D15" s="61">
        <v>1927</v>
      </c>
      <c r="E15" s="6">
        <f t="shared" si="0"/>
        <v>-2</v>
      </c>
      <c r="F15" s="61">
        <v>1987</v>
      </c>
      <c r="G15" s="6">
        <f t="shared" si="1"/>
        <v>-62</v>
      </c>
      <c r="H15" s="7"/>
      <c r="I15" s="5" t="s">
        <v>12</v>
      </c>
      <c r="J15" s="6">
        <f>SUM('1bezr.'!C15)</f>
        <v>2943</v>
      </c>
      <c r="K15" s="6">
        <f t="shared" si="3"/>
        <v>1925</v>
      </c>
      <c r="L15" s="8">
        <f t="shared" si="2"/>
        <v>65.409446143391094</v>
      </c>
    </row>
    <row r="16" spans="1:12" x14ac:dyDescent="0.2">
      <c r="A16" s="3">
        <v>14</v>
      </c>
      <c r="B16" s="5" t="s">
        <v>13</v>
      </c>
      <c r="C16" s="17">
        <v>2802</v>
      </c>
      <c r="D16" s="61">
        <v>2742</v>
      </c>
      <c r="E16" s="6">
        <f t="shared" si="0"/>
        <v>60</v>
      </c>
      <c r="F16" s="61">
        <v>2840</v>
      </c>
      <c r="G16" s="6">
        <f t="shared" si="1"/>
        <v>-38</v>
      </c>
      <c r="H16" s="7"/>
      <c r="I16" s="5" t="s">
        <v>13</v>
      </c>
      <c r="J16" s="6">
        <f>SUM('1bezr.'!C16)</f>
        <v>2823</v>
      </c>
      <c r="K16" s="6">
        <f t="shared" si="3"/>
        <v>2802</v>
      </c>
      <c r="L16" s="8">
        <f t="shared" si="2"/>
        <v>99.256110520722643</v>
      </c>
    </row>
    <row r="17" spans="1:13" x14ac:dyDescent="0.2">
      <c r="A17" s="3">
        <v>15</v>
      </c>
      <c r="B17" s="5" t="s">
        <v>14</v>
      </c>
      <c r="C17" s="17">
        <v>2491</v>
      </c>
      <c r="D17" s="61">
        <v>2438</v>
      </c>
      <c r="E17" s="6">
        <f t="shared" si="0"/>
        <v>53</v>
      </c>
      <c r="F17" s="61">
        <v>2655</v>
      </c>
      <c r="G17" s="6">
        <f t="shared" si="1"/>
        <v>-164</v>
      </c>
      <c r="H17" s="7"/>
      <c r="I17" s="5" t="s">
        <v>14</v>
      </c>
      <c r="J17" s="6">
        <f>SUM('1bezr.'!C17)</f>
        <v>3264</v>
      </c>
      <c r="K17" s="6">
        <f t="shared" si="3"/>
        <v>2491</v>
      </c>
      <c r="L17" s="8">
        <f t="shared" si="2"/>
        <v>76.317401960784309</v>
      </c>
      <c r="M17" s="10"/>
    </row>
    <row r="18" spans="1:13" x14ac:dyDescent="0.2">
      <c r="A18" s="3">
        <v>16</v>
      </c>
      <c r="B18" s="5" t="s">
        <v>15</v>
      </c>
      <c r="C18" s="17">
        <v>1644</v>
      </c>
      <c r="D18" s="61">
        <v>1658</v>
      </c>
      <c r="E18" s="6">
        <f t="shared" si="0"/>
        <v>-14</v>
      </c>
      <c r="F18" s="61">
        <v>1825</v>
      </c>
      <c r="G18" s="6">
        <f t="shared" si="1"/>
        <v>-181</v>
      </c>
      <c r="H18" s="7"/>
      <c r="I18" s="5" t="s">
        <v>15</v>
      </c>
      <c r="J18" s="6">
        <f>SUM('1bezr.'!C18)</f>
        <v>2537</v>
      </c>
      <c r="K18" s="6">
        <f t="shared" si="3"/>
        <v>1644</v>
      </c>
      <c r="L18" s="8">
        <f t="shared" si="2"/>
        <v>64.800945999211663</v>
      </c>
    </row>
    <row r="19" spans="1:13" x14ac:dyDescent="0.2">
      <c r="A19" s="3">
        <v>17</v>
      </c>
      <c r="B19" s="5" t="s">
        <v>16</v>
      </c>
      <c r="C19" s="17">
        <v>3602</v>
      </c>
      <c r="D19" s="61">
        <v>3553</v>
      </c>
      <c r="E19" s="6">
        <f t="shared" si="0"/>
        <v>49</v>
      </c>
      <c r="F19" s="61">
        <v>3864</v>
      </c>
      <c r="G19" s="6">
        <f t="shared" si="1"/>
        <v>-262</v>
      </c>
      <c r="H19" s="7"/>
      <c r="I19" s="5" t="s">
        <v>16</v>
      </c>
      <c r="J19" s="6">
        <f>SUM('1bezr.'!C19)</f>
        <v>4533</v>
      </c>
      <c r="K19" s="6">
        <f t="shared" si="3"/>
        <v>3602</v>
      </c>
      <c r="L19" s="8">
        <f t="shared" si="2"/>
        <v>79.461725126847554</v>
      </c>
    </row>
    <row r="20" spans="1:13" x14ac:dyDescent="0.2">
      <c r="A20" s="3">
        <v>18</v>
      </c>
      <c r="B20" s="5" t="s">
        <v>17</v>
      </c>
      <c r="C20" s="17">
        <v>1556</v>
      </c>
      <c r="D20" s="61">
        <v>1542</v>
      </c>
      <c r="E20" s="6">
        <f t="shared" si="0"/>
        <v>14</v>
      </c>
      <c r="F20" s="61">
        <v>1475</v>
      </c>
      <c r="G20" s="6">
        <f t="shared" si="1"/>
        <v>81</v>
      </c>
      <c r="H20" s="7"/>
      <c r="I20" s="5" t="s">
        <v>17</v>
      </c>
      <c r="J20" s="6">
        <f>SUM('1bezr.'!C20)</f>
        <v>2680</v>
      </c>
      <c r="K20" s="6">
        <f t="shared" si="3"/>
        <v>1556</v>
      </c>
      <c r="L20" s="8">
        <f t="shared" si="2"/>
        <v>58.059701492537322</v>
      </c>
    </row>
    <row r="21" spans="1:13" x14ac:dyDescent="0.2">
      <c r="A21" s="3">
        <v>19</v>
      </c>
      <c r="B21" s="5" t="s">
        <v>18</v>
      </c>
      <c r="C21" s="17">
        <v>746</v>
      </c>
      <c r="D21" s="61">
        <v>714</v>
      </c>
      <c r="E21" s="6">
        <f t="shared" si="0"/>
        <v>32</v>
      </c>
      <c r="F21" s="61">
        <v>721</v>
      </c>
      <c r="G21" s="6">
        <f t="shared" si="1"/>
        <v>25</v>
      </c>
      <c r="H21" s="7"/>
      <c r="I21" s="5" t="s">
        <v>18</v>
      </c>
      <c r="J21" s="6">
        <f>SUM('1bezr.'!C21)</f>
        <v>1898</v>
      </c>
      <c r="K21" s="6">
        <f t="shared" si="3"/>
        <v>746</v>
      </c>
      <c r="L21" s="8">
        <f t="shared" si="2"/>
        <v>39.304531085352998</v>
      </c>
    </row>
    <row r="22" spans="1:13" x14ac:dyDescent="0.2">
      <c r="A22" s="3">
        <v>20</v>
      </c>
      <c r="B22" s="5" t="s">
        <v>19</v>
      </c>
      <c r="C22" s="17">
        <v>2629</v>
      </c>
      <c r="D22" s="61">
        <v>2672</v>
      </c>
      <c r="E22" s="6">
        <f t="shared" si="0"/>
        <v>-43</v>
      </c>
      <c r="F22" s="61">
        <v>2828</v>
      </c>
      <c r="G22" s="6">
        <f t="shared" si="1"/>
        <v>-199</v>
      </c>
      <c r="H22" s="7"/>
      <c r="I22" s="5" t="s">
        <v>19</v>
      </c>
      <c r="J22" s="6">
        <f>SUM('1bezr.'!C22)</f>
        <v>2938</v>
      </c>
      <c r="K22" s="6">
        <f t="shared" si="3"/>
        <v>2629</v>
      </c>
      <c r="L22" s="8">
        <f t="shared" si="2"/>
        <v>89.482641252552753</v>
      </c>
    </row>
    <row r="23" spans="1:13" x14ac:dyDescent="0.2">
      <c r="A23" s="3">
        <v>21</v>
      </c>
      <c r="B23" s="5" t="s">
        <v>20</v>
      </c>
      <c r="C23" s="17">
        <v>1024</v>
      </c>
      <c r="D23" s="61">
        <v>1010</v>
      </c>
      <c r="E23" s="6">
        <f t="shared" si="0"/>
        <v>14</v>
      </c>
      <c r="F23" s="61">
        <v>1026</v>
      </c>
      <c r="G23" s="6">
        <f t="shared" si="1"/>
        <v>-2</v>
      </c>
      <c r="H23" s="7"/>
      <c r="I23" s="5" t="s">
        <v>20</v>
      </c>
      <c r="J23" s="6">
        <f>SUM('1bezr.'!C23)</f>
        <v>1251</v>
      </c>
      <c r="K23" s="6">
        <f>SUM(C23)</f>
        <v>1024</v>
      </c>
      <c r="L23" s="8">
        <f t="shared" si="2"/>
        <v>81.854516386890481</v>
      </c>
    </row>
    <row r="24" spans="1:13" ht="15" x14ac:dyDescent="0.25">
      <c r="A24" s="3">
        <v>22</v>
      </c>
      <c r="B24" s="58" t="s">
        <v>25</v>
      </c>
      <c r="C24" s="59">
        <f>SUM(C3:C23)</f>
        <v>40878</v>
      </c>
      <c r="D24" s="63">
        <f>SUM(D3:D23)</f>
        <v>40511</v>
      </c>
      <c r="E24" s="59">
        <f>SUM(E3:E23)</f>
        <v>367</v>
      </c>
      <c r="F24" s="63">
        <f>SUM(F3:F23)</f>
        <v>42254</v>
      </c>
      <c r="G24" s="59">
        <f>SUM(G3:G23)</f>
        <v>-1376</v>
      </c>
      <c r="H24" s="7"/>
      <c r="I24" s="5" t="s">
        <v>21</v>
      </c>
      <c r="J24" s="6">
        <f>SUM('1bezr.'!C24)</f>
        <v>765</v>
      </c>
      <c r="K24" s="11" t="s">
        <v>29</v>
      </c>
      <c r="L24" s="12" t="s">
        <v>29</v>
      </c>
    </row>
    <row r="25" spans="1:13" x14ac:dyDescent="0.2">
      <c r="C25" s="54"/>
      <c r="I25" s="5" t="s">
        <v>22</v>
      </c>
      <c r="J25" s="6">
        <f>SUM('1bezr.'!C25)</f>
        <v>2298</v>
      </c>
      <c r="K25" s="11" t="s">
        <v>29</v>
      </c>
      <c r="L25" s="12" t="s">
        <v>29</v>
      </c>
    </row>
    <row r="26" spans="1:13" x14ac:dyDescent="0.2">
      <c r="I26" s="5" t="s">
        <v>23</v>
      </c>
      <c r="J26" s="6">
        <f>SUM('1bezr.'!C26)</f>
        <v>5011</v>
      </c>
      <c r="K26" s="11" t="s">
        <v>29</v>
      </c>
      <c r="L26" s="12" t="s">
        <v>29</v>
      </c>
    </row>
    <row r="27" spans="1:13" x14ac:dyDescent="0.2">
      <c r="I27" s="5" t="s">
        <v>24</v>
      </c>
      <c r="J27" s="6">
        <f>SUM('1bezr.'!C27)</f>
        <v>1065</v>
      </c>
      <c r="K27" s="11" t="s">
        <v>29</v>
      </c>
      <c r="L27" s="12" t="s">
        <v>29</v>
      </c>
    </row>
    <row r="28" spans="1:13" ht="15" x14ac:dyDescent="0.25">
      <c r="H28" s="7"/>
      <c r="I28" s="58" t="s">
        <v>25</v>
      </c>
      <c r="J28" s="59">
        <f>SUM(J3:J27)</f>
        <v>64968</v>
      </c>
      <c r="K28" s="59">
        <f>SUM(K3:K23)</f>
        <v>40878</v>
      </c>
      <c r="L28" s="74">
        <f>SUM(K28)/J28*100</f>
        <v>62.920206871074988</v>
      </c>
    </row>
    <row r="30" spans="1:13" x14ac:dyDescent="0.2">
      <c r="K30" s="19">
        <f>SUM(K28-J28)</f>
        <v>-24090</v>
      </c>
    </row>
  </sheetData>
  <printOptions horizontalCentered="1" verticalCentered="1"/>
  <pageMargins left="0" right="0" top="0" bottom="0" header="0" footer="0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1bezr.</vt:lpstr>
      <vt:lpstr>1sort</vt:lpstr>
      <vt:lpstr>2kob.</vt:lpstr>
      <vt:lpstr>2sort</vt:lpstr>
      <vt:lpstr>3s.bezr.Pol</vt:lpstr>
      <vt:lpstr>3sort</vt:lpstr>
      <vt:lpstr>4s.bezr.pow.</vt:lpstr>
      <vt:lpstr>4sort</vt:lpstr>
      <vt:lpstr>5bezr. na wsi</vt:lpstr>
      <vt:lpstr>5sort</vt:lpstr>
      <vt:lpstr>6długot.</vt:lpstr>
      <vt:lpstr>6sort</vt:lpstr>
      <vt:lpstr>7do 30 r.ż.</vt:lpstr>
      <vt:lpstr>7sort</vt:lpstr>
      <vt:lpstr>8pow. 50 r.ż.</vt:lpstr>
      <vt:lpstr>8sort</vt:lpstr>
      <vt:lpstr>9oferty p.</vt:lpstr>
      <vt:lpstr>9sort</vt:lpstr>
      <vt:lpstr>10oferty s.</vt:lpstr>
      <vt:lpstr>10sort</vt:lpstr>
      <vt:lpstr>11of st. k.</vt:lpstr>
      <vt:lpstr>11sort</vt:lpstr>
      <vt:lpstr>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</dc:creator>
  <cp:lastModifiedBy>Bartosz Kostecki</cp:lastModifiedBy>
  <cp:lastPrinted>2023-10-27T11:31:02Z</cp:lastPrinted>
  <dcterms:created xsi:type="dcterms:W3CDTF">2016-08-02T05:46:03Z</dcterms:created>
  <dcterms:modified xsi:type="dcterms:W3CDTF">2023-11-24T12:08:08Z</dcterms:modified>
</cp:coreProperties>
</file>