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72BE48F8-6D19-411D-889E-C54B58392128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s.bezr.Pol" sheetId="8" r:id="rId5"/>
    <sheet name="3sort" sheetId="16" r:id="rId6"/>
    <sheet name="4s.bezr.pow." sheetId="13" r:id="rId7"/>
    <sheet name="4sort" sheetId="17" r:id="rId8"/>
    <sheet name="5bezr. na wsi" sheetId="2" r:id="rId9"/>
    <sheet name="5sort" sheetId="18" r:id="rId10"/>
    <sheet name="6długot." sheetId="3" r:id="rId11"/>
    <sheet name="6sort" sheetId="19" r:id="rId12"/>
    <sheet name="7do 30 r.ż." sheetId="4" r:id="rId13"/>
    <sheet name="7sort" sheetId="20" r:id="rId14"/>
    <sheet name="8pow. 50 r.ż." sheetId="5" r:id="rId15"/>
    <sheet name="8sort" sheetId="21" r:id="rId16"/>
    <sheet name="9oferty p." sheetId="6" r:id="rId17"/>
    <sheet name="9sort" sheetId="22" r:id="rId18"/>
    <sheet name="10oferty s." sheetId="11" r:id="rId19"/>
    <sheet name="10sort" sheetId="23" r:id="rId20"/>
    <sheet name="11of st. k." sheetId="26" r:id="rId21"/>
    <sheet name="11sort" sheetId="27" r:id="rId22"/>
    <sheet name="K1" sheetId="28" r:id="rId23"/>
    <sheet name="XXXIII" sheetId="29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14" l="1"/>
  <c r="AB3" i="14"/>
  <c r="AC3" i="14"/>
  <c r="AG3" i="14"/>
  <c r="AE4" i="14"/>
  <c r="AE29" i="14"/>
  <c r="AE28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E13" i="14"/>
  <c r="AE12" i="14"/>
  <c r="AE11" i="14"/>
  <c r="AE10" i="14"/>
  <c r="AE9" i="14"/>
  <c r="AE8" i="14"/>
  <c r="AE7" i="14"/>
  <c r="AE6" i="14"/>
  <c r="AE5" i="14"/>
  <c r="AA4" i="14"/>
  <c r="AB27" i="14" s="1"/>
  <c r="AA28" i="14"/>
  <c r="V4" i="14"/>
  <c r="E29" i="28"/>
  <c r="D28" i="10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AG21" i="14" l="1"/>
  <c r="AF12" i="14"/>
  <c r="AF24" i="14"/>
  <c r="AG10" i="14"/>
  <c r="AG22" i="14"/>
  <c r="AF13" i="14"/>
  <c r="AF25" i="14"/>
  <c r="AG11" i="14"/>
  <c r="AG23" i="14"/>
  <c r="AF14" i="14"/>
  <c r="AF26" i="14"/>
  <c r="AG12" i="14"/>
  <c r="AG24" i="14"/>
  <c r="AF15" i="14"/>
  <c r="AF27" i="14"/>
  <c r="AG13" i="14"/>
  <c r="AG25" i="14"/>
  <c r="AF4" i="14"/>
  <c r="AF16" i="14"/>
  <c r="AF28" i="14"/>
  <c r="AG14" i="14"/>
  <c r="AG26" i="14"/>
  <c r="AF5" i="14"/>
  <c r="AF17" i="14"/>
  <c r="AF29" i="14"/>
  <c r="AG15" i="14"/>
  <c r="AG27" i="14"/>
  <c r="AF6" i="14"/>
  <c r="AF18" i="14"/>
  <c r="AG4" i="14"/>
  <c r="AG16" i="14"/>
  <c r="AG28" i="14"/>
  <c r="AF7" i="14"/>
  <c r="AF19" i="14"/>
  <c r="AG5" i="14"/>
  <c r="AG17" i="14"/>
  <c r="AG29" i="14"/>
  <c r="AF8" i="14"/>
  <c r="AF20" i="14"/>
  <c r="AG6" i="14"/>
  <c r="AG18" i="14"/>
  <c r="AF9" i="14"/>
  <c r="AF21" i="14"/>
  <c r="AG7" i="14"/>
  <c r="AG19" i="14"/>
  <c r="AF10" i="14"/>
  <c r="AF22" i="14"/>
  <c r="AG8" i="14"/>
  <c r="AG20" i="14"/>
  <c r="AF11" i="14"/>
  <c r="AF23" i="14"/>
  <c r="AG9" i="14"/>
  <c r="AC27" i="14"/>
  <c r="D14" i="16"/>
  <c r="C14" i="16"/>
  <c r="C4" i="16"/>
  <c r="C5" i="16"/>
  <c r="C6" i="16"/>
  <c r="I29" i="29"/>
  <c r="H29" i="29"/>
  <c r="G29" i="29"/>
  <c r="I36" i="29"/>
  <c r="H36" i="29"/>
  <c r="G36" i="29"/>
  <c r="I35" i="29"/>
  <c r="H35" i="29"/>
  <c r="G35" i="29"/>
  <c r="I34" i="29"/>
  <c r="H34" i="29"/>
  <c r="G34" i="29"/>
  <c r="I33" i="29"/>
  <c r="H33" i="29"/>
  <c r="G33" i="29"/>
  <c r="I32" i="29"/>
  <c r="H32" i="29"/>
  <c r="G32" i="29"/>
  <c r="I31" i="29"/>
  <c r="H31" i="29"/>
  <c r="G31" i="29"/>
  <c r="I30" i="29"/>
  <c r="H30" i="29"/>
  <c r="G30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F28" i="1"/>
  <c r="C31" i="17"/>
  <c r="B21" i="16"/>
  <c r="E27" i="3"/>
  <c r="D24" i="2"/>
  <c r="W29" i="28"/>
  <c r="AG30" i="14" l="1"/>
  <c r="X28" i="28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S29" i="28" l="1"/>
  <c r="R29" i="28"/>
  <c r="M29" i="28"/>
  <c r="L29" i="28"/>
  <c r="I29" i="28"/>
  <c r="H29" i="28"/>
  <c r="D29" i="28"/>
  <c r="V29" i="28" l="1"/>
  <c r="X29" i="28" s="1"/>
  <c r="D28" i="3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N5" i="28"/>
  <c r="J5" i="28"/>
  <c r="F5" i="28"/>
  <c r="N4" i="28"/>
  <c r="J4" i="28"/>
  <c r="F4" i="28"/>
  <c r="X3" i="14"/>
  <c r="W3" i="14"/>
  <c r="D28" i="6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P18" i="28" l="1"/>
  <c r="AD4" i="28"/>
  <c r="AD5" i="28"/>
  <c r="AD6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E12" i="13"/>
  <c r="G12" i="13"/>
  <c r="AF5" i="28" l="1"/>
  <c r="AE5" i="28"/>
  <c r="AF19" i="28"/>
  <c r="AF21" i="28"/>
  <c r="AF17" i="28"/>
  <c r="AF6" i="28"/>
  <c r="AF28" i="28"/>
  <c r="AF7" i="28"/>
  <c r="AF8" i="28"/>
  <c r="AF13" i="28"/>
  <c r="AF18" i="28"/>
  <c r="AF26" i="28"/>
  <c r="Z4" i="28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B4" i="28" l="1"/>
  <c r="AI4" i="28"/>
  <c r="AA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B4" i="14" l="1"/>
  <c r="AA18" i="14"/>
  <c r="AA21" i="14"/>
  <c r="AA8" i="14"/>
  <c r="AA14" i="14"/>
  <c r="AA12" i="14"/>
  <c r="AA9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7" i="14"/>
  <c r="AA23" i="14"/>
  <c r="B29" i="14"/>
  <c r="AC29" i="14" l="1"/>
  <c r="AC4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18" i="14"/>
  <c r="AC8" i="14"/>
  <c r="AC23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C30" i="14" l="1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G6" i="13" l="1"/>
  <c r="E6" i="13"/>
  <c r="G27" i="10" l="1"/>
  <c r="G10" i="2" l="1"/>
  <c r="E27" i="10" l="1"/>
  <c r="F28" i="6" l="1"/>
  <c r="C28" i="6"/>
  <c r="C28" i="4" l="1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D28" i="1"/>
  <c r="E29" i="14" l="1"/>
  <c r="E28" i="1"/>
  <c r="F24" i="2"/>
  <c r="V29" i="14" l="1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5" i="14"/>
  <c r="V10" i="14"/>
  <c r="V6" i="14"/>
  <c r="V11" i="14"/>
  <c r="V28" i="14"/>
  <c r="V15" i="14"/>
  <c r="V18" i="14"/>
  <c r="V16" i="14"/>
  <c r="V7" i="14"/>
  <c r="V13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4" i="14" l="1"/>
  <c r="X14" i="14"/>
  <c r="W4" i="14"/>
  <c r="X29" i="14"/>
  <c r="X5" i="14"/>
  <c r="X18" i="14"/>
  <c r="W5" i="14"/>
  <c r="X27" i="14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E28" i="10"/>
  <c r="G28" i="10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X30" i="14" l="1"/>
  <c r="F27" i="17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H3" i="17"/>
  <c r="G3" i="17"/>
  <c r="F3" i="17"/>
  <c r="E3" i="17"/>
  <c r="D3" i="17"/>
  <c r="C3" i="17"/>
  <c r="H3" i="16"/>
  <c r="G3" i="16"/>
  <c r="F3" i="16"/>
  <c r="E3" i="16"/>
  <c r="D3" i="16"/>
  <c r="C3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H3" i="18"/>
  <c r="G3" i="18"/>
  <c r="F3" i="18"/>
  <c r="E3" i="18"/>
  <c r="D3" i="18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G28" i="1" l="1"/>
  <c r="H29" i="14" s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D26" i="19" l="1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4" i="18"/>
  <c r="D20" i="18"/>
  <c r="D16" i="18"/>
  <c r="D12" i="18"/>
  <c r="D8" i="18"/>
  <c r="D4" i="18"/>
  <c r="D19" i="18"/>
  <c r="D11" i="18"/>
  <c r="D25" i="18"/>
  <c r="D21" i="18"/>
  <c r="D17" i="18"/>
  <c r="D13" i="18"/>
  <c r="D9" i="18"/>
  <c r="D5" i="18"/>
  <c r="D23" i="18"/>
  <c r="D15" i="18"/>
  <c r="D7" i="18"/>
  <c r="D14" i="18"/>
  <c r="D10" i="18"/>
  <c r="D22" i="18"/>
  <c r="D6" i="18"/>
  <c r="D18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E10" i="18"/>
  <c r="C16" i="18"/>
  <c r="E18" i="18"/>
  <c r="C24" i="18"/>
  <c r="C7" i="18"/>
  <c r="E9" i="18"/>
  <c r="C15" i="18"/>
  <c r="E17" i="18"/>
  <c r="C23" i="18"/>
  <c r="E25" i="18"/>
  <c r="C10" i="18"/>
  <c r="E12" i="18"/>
  <c r="C18" i="18"/>
  <c r="E20" i="18"/>
  <c r="G9" i="18"/>
  <c r="G17" i="18"/>
  <c r="G25" i="18"/>
  <c r="G8" i="18"/>
  <c r="G16" i="18"/>
  <c r="G24" i="18"/>
  <c r="G7" i="18"/>
  <c r="G15" i="18"/>
  <c r="G23" i="18"/>
  <c r="G10" i="18"/>
  <c r="G18" i="18"/>
  <c r="C5" i="18"/>
  <c r="E7" i="18"/>
  <c r="C13" i="18"/>
  <c r="E15" i="18"/>
  <c r="C21" i="18"/>
  <c r="E23" i="18"/>
  <c r="E4" i="18"/>
  <c r="E6" i="18"/>
  <c r="C12" i="18"/>
  <c r="E14" i="18"/>
  <c r="C20" i="18"/>
  <c r="E22" i="18"/>
  <c r="E5" i="18"/>
  <c r="C11" i="18"/>
  <c r="E13" i="18"/>
  <c r="C19" i="18"/>
  <c r="E21" i="18"/>
  <c r="C6" i="18"/>
  <c r="E8" i="18"/>
  <c r="C14" i="18"/>
  <c r="E16" i="18"/>
  <c r="C22" i="18"/>
  <c r="E24" i="18"/>
  <c r="G5" i="18"/>
  <c r="G13" i="18"/>
  <c r="G21" i="18"/>
  <c r="G4" i="18"/>
  <c r="G12" i="18"/>
  <c r="G20" i="18"/>
  <c r="G11" i="18"/>
  <c r="G19" i="18"/>
  <c r="G6" i="18"/>
  <c r="G14" i="18"/>
  <c r="G22" i="18"/>
  <c r="C9" i="18"/>
  <c r="E11" i="18"/>
  <c r="C17" i="18"/>
  <c r="E19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C28" i="5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H27" i="21" s="1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F27" i="21" s="1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E28" i="3" l="1"/>
  <c r="H27" i="20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K30" i="2" s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<sst xmlns="http://schemas.openxmlformats.org/spreadsheetml/2006/main" count="536" uniqueCount="171">
  <si>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</si>
  <si>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</si>
  <si>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</si>
  <si>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</si>
  <si>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</si>
  <si>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</si>
  <si>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</si>
  <si>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</si>
  <si>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</si>
  <si>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</si>
  <si>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</si>
  <si>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</si>
  <si>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</si>
  <si>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</si>
  <si>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</si>
  <si>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</si>
  <si>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</si>
  <si>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</si>
  <si>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</si>
  <si>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</si>
  <si>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</si>
  <si>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</si>
  <si>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</si>
  <si>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</si>
  <si>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</si>
  <si>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</si>
  <si>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</si>
  <si>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</si>
  <si>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</si>
  <si>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</si>
  <si>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</si>
  <si>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</si>
  <si>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</si>
  <si>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</si>
  <si>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</si>
  <si>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</si>
  <si>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</si>
  <si>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</si>
  <si>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</si>
  <si>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</si>
  <si>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</si>
  <si>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</si>
  <si>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</si>
  <si>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</si>
  <si>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</si>
  <si>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</si>
  <si>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</si>
  <si>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</si>
  <si>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</si>
  <si>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</si>
  <si>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</si>
  <si>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</si>
  <si>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</si>
  <si>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</si>
  <si>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</si>
  <si>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</si>
  <si>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</si>
  <si>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</si>
  <si>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</si>
  <si>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</si>
  <si>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</si>
  <si>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</si>
  <si>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</si>
  <si>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</si>
  <si>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</si>
  <si>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</si>
  <si>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</si>
  <si>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</si>
  <si>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</si>
  <si>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</si>
  <si>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</si>
  <si>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</si>
  <si>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</si>
  <si>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</si>
  <si>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</si>
  <si>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</si>
  <si>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</si>
  <si>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</si>
  <si>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</si>
  <si>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</si>
  <si>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wzrost lub spadek do poprzedniego miesiąca (pkt. proc.)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</si>
  <si>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</si>
  <si>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</si>
  <si>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</si>
  <si>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</si>
  <si>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</si>
  <si>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</si>
  <si>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Stopa bezrobocia rejestrowanego - wg województw</t>
  </si>
  <si>
    <t>Stopa bezrobocia rejestrowanego - wg powiatów w województwie podkarpackim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</si>
  <si>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</si>
  <si>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</si>
  <si>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</si>
  <si>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</si>
  <si>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</si>
  <si>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</si>
  <si>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</si>
  <si>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</si>
  <si>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</si>
  <si>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</si>
  <si>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</si>
  <si>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</si>
  <si>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</si>
  <si>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</si>
  <si>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</si>
  <si>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</si>
  <si>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</si>
  <si>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</si>
  <si>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</si>
  <si>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</si>
  <si>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</si>
  <si>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</si>
  <si>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</si>
  <si>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</si>
  <si>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</si>
  <si>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 lub spadek do początku roku (pkt. proc.)</t>
  </si>
  <si>
    <t>wzrost/spadek do początku roku (pkt. proc.)</t>
  </si>
  <si>
    <t>wzrost/spadek</t>
  </si>
  <si>
    <t>Zmiana stanu na koniec okresu [liczba bezrobotnych]</t>
  </si>
  <si>
    <t>WARMIŃSKO - MAZURSKIE</t>
  </si>
  <si>
    <t xml:space="preserve">* GUS, Bank Danych Lokalnych 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</si>
  <si>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</si>
  <si>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</si>
  <si>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</si>
  <si>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</si>
  <si>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</si>
  <si>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</si>
  <si>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</si>
  <si>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</si>
  <si>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</si>
  <si>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</si>
  <si>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</si>
  <si>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</si>
  <si>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</si>
  <si>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</si>
  <si>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liczba bezrobotnych kobiet stan na 31-01-'24 r.</t>
  </si>
  <si>
    <t>Stopa bezrobocia stan na 31-12-'23 r. (w proc.)*</t>
  </si>
  <si>
    <t>liczba ofert w 01-'24 r.</t>
  </si>
  <si>
    <t>stan na 31-12-2023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</si>
  <si>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29-02-'24 r.</t>
    </r>
  </si>
  <si>
    <t>liczba bezrobotnych ogółem stan na 28-02-'23 r.</t>
  </si>
  <si>
    <t>liczba bezrobotnych ogółem stan na 31-01-'24 r.</t>
  </si>
  <si>
    <t>liczba bezrobotnych kobiet stan na 29-02-'24 r.</t>
  </si>
  <si>
    <t>liczba bezrobotnych kobiet stan na 28-02-'23 r.</t>
  </si>
  <si>
    <r>
      <t>Stopa bezrobocia stan na 29</t>
    </r>
    <r>
      <rPr>
        <sz val="12"/>
        <color theme="1"/>
        <rFont val="Arial"/>
        <family val="2"/>
        <charset val="238"/>
      </rPr>
      <t xml:space="preserve">-02-'24 r. </t>
    </r>
    <r>
      <rPr>
        <sz val="11"/>
        <color theme="1"/>
        <rFont val="Arial"/>
        <family val="2"/>
        <charset val="238"/>
      </rPr>
      <t>(w proc.)*</t>
    </r>
  </si>
  <si>
    <r>
      <t>Stopa bezrobocia stan na 28</t>
    </r>
    <r>
      <rPr>
        <sz val="12"/>
        <color theme="1"/>
        <rFont val="Arial"/>
        <family val="2"/>
        <charset val="238"/>
      </rPr>
      <t>-02-'23 r.</t>
    </r>
    <r>
      <rPr>
        <sz val="11"/>
        <color theme="1"/>
        <rFont val="Arial"/>
        <family val="2"/>
        <charset val="238"/>
      </rPr>
      <t xml:space="preserve"> (w proc.)*</t>
    </r>
  </si>
  <si>
    <t>Stopa bezrobocia stan na 31-01-'24 r. w proc. *</t>
  </si>
  <si>
    <r>
      <t>Stopa bezrobocia stan na 29</t>
    </r>
    <r>
      <rPr>
        <sz val="12"/>
        <color theme="1"/>
        <rFont val="Arial"/>
        <family val="2"/>
        <charset val="238"/>
      </rPr>
      <t xml:space="preserve">-02-'24 </t>
    </r>
    <r>
      <rPr>
        <sz val="11"/>
        <color theme="1"/>
        <rFont val="Arial"/>
        <family val="2"/>
        <charset val="238"/>
      </rPr>
      <t>r. w proc.*</t>
    </r>
  </si>
  <si>
    <r>
      <t>Stopa bezrobocia stan na 28</t>
    </r>
    <r>
      <rPr>
        <sz val="12"/>
        <color theme="1"/>
        <rFont val="Arial"/>
        <family val="2"/>
        <charset val="238"/>
      </rPr>
      <t>-02-'23 r</t>
    </r>
    <r>
      <rPr>
        <sz val="11"/>
        <color theme="1"/>
        <rFont val="Arial"/>
        <family val="2"/>
        <charset val="238"/>
      </rPr>
      <t>. w proc.*</t>
    </r>
  </si>
  <si>
    <r>
      <t>liczba bezrobotnych zam. na wsi stan na 28</t>
    </r>
    <r>
      <rPr>
        <sz val="12"/>
        <color theme="1"/>
        <rFont val="Arial"/>
        <family val="2"/>
        <charset val="238"/>
      </rPr>
      <t>-02-'23 r.</t>
    </r>
  </si>
  <si>
    <t>liczba bezrobotnych zam. na wsi stan na 31-01-'24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</si>
  <si>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29-02-'24 r.</t>
    </r>
  </si>
  <si>
    <t>liczba bezrobotnych pow. 12 m-cy stan na 31-01-'24 r.</t>
  </si>
  <si>
    <r>
      <t>liczba bezrobotnych pow. 12 m-cy stan na 29</t>
    </r>
    <r>
      <rPr>
        <sz val="12"/>
        <color theme="1"/>
        <rFont val="Arial"/>
        <family val="2"/>
        <charset val="238"/>
      </rPr>
      <t>-02-'24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</si>
  <si>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28-02-'23 r.</t>
    </r>
  </si>
  <si>
    <t>liczba bezrobotnych do 30 r. ż. stan na 31-01-'24 r.</t>
  </si>
  <si>
    <r>
      <t>liczba bezrobotnych do 30 r. ż. stan na 29</t>
    </r>
    <r>
      <rPr>
        <sz val="12"/>
        <color theme="1"/>
        <rFont val="Arial"/>
        <family val="2"/>
        <charset val="238"/>
      </rPr>
      <t>-02-'24 r.</t>
    </r>
  </si>
  <si>
    <r>
      <t>liczba bezrobotnych do 30 r. ż. stan na 28</t>
    </r>
    <r>
      <rPr>
        <sz val="12"/>
        <color theme="1"/>
        <rFont val="Arial"/>
        <family val="2"/>
        <charset val="238"/>
      </rPr>
      <t>-02-'23 r.</t>
    </r>
  </si>
  <si>
    <t>liczba bezrobotnych 50+ stan na 31-01-'24 r.</t>
  </si>
  <si>
    <r>
      <t>liczba bezrobotnych 50+ stan na 29</t>
    </r>
    <r>
      <rPr>
        <sz val="12"/>
        <color theme="1"/>
        <rFont val="Arial"/>
        <family val="2"/>
        <charset val="238"/>
      </rPr>
      <t>-02-'24 r.</t>
    </r>
  </si>
  <si>
    <r>
      <t>liczba bezrobotnych 50+ stan na 28</t>
    </r>
    <r>
      <rPr>
        <sz val="12"/>
        <color theme="1"/>
        <rFont val="Arial"/>
        <family val="2"/>
        <charset val="238"/>
      </rPr>
      <t>-02-'23 r.</t>
    </r>
  </si>
  <si>
    <t>liczba ofert w 02-'24 r.</t>
  </si>
  <si>
    <t>liczba ofert w 02-'23 r.</t>
  </si>
  <si>
    <t>podjecia pracy niesubs. I-II 2023</t>
  </si>
  <si>
    <t>podjecia pracy niesubs. I-II 2024</t>
  </si>
  <si>
    <t>praca subs. I-II 2023</t>
  </si>
  <si>
    <t>praca subs. I-II 2024</t>
  </si>
  <si>
    <t>staże I-II 2023</t>
  </si>
  <si>
    <t>staże I-II 2024</t>
  </si>
  <si>
    <t>stan na 28-02-2023</t>
  </si>
  <si>
    <t>stan na 28-02-2024</t>
  </si>
  <si>
    <t>ten sam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</si>
</sst>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Times"/>
      <charset val="238"/>
    </font>
    <font>
      <b/>
      <sz val="11"/>
      <name val="Times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right" vertical="center"/>
    </xf>
    <xf numFmtId="0" fontId="10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286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0" xfId="2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3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3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3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9" fillId="2" borderId="28" xfId="4" quotePrefix="1" applyFont="1" applyFill="1" applyBorder="1" applyAlignment="1">
      <alignment horizontal="left" vertical="center" wrapText="1"/>
    </xf>
    <xf numFmtId="0" fontId="9" fillId="2" borderId="29" xfId="4" quotePrefix="1" applyFont="1" applyFill="1" applyBorder="1" applyAlignment="1">
      <alignment horizontal="left" vertical="center" wrapText="1"/>
    </xf>
    <xf numFmtId="0" fontId="9" fillId="2" borderId="30" xfId="4" quotePrefix="1" applyFont="1" applyFill="1" applyBorder="1" applyAlignment="1">
      <alignment horizontal="left" vertical="center" wrapText="1"/>
    </xf>
    <xf numFmtId="0" fontId="13" fillId="2" borderId="29" xfId="4" quotePrefix="1" applyFont="1" applyFill="1" applyBorder="1" applyAlignment="1">
      <alignment horizontal="left" vertical="center" wrapText="1"/>
    </xf>
    <xf numFmtId="0" fontId="13" fillId="2" borderId="30" xfId="4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3" fillId="2" borderId="27" xfId="3" quotePrefix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3" fillId="2" borderId="33" xfId="1" applyNumberFormat="1" applyFont="1" applyFill="1" applyBorder="1" applyAlignment="1">
      <alignment horizontal="center" vertical="center" wrapText="1"/>
    </xf>
    <xf numFmtId="1" fontId="13" fillId="2" borderId="35" xfId="1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left" vertical="top"/>
    </xf>
    <xf numFmtId="0" fontId="16" fillId="2" borderId="0" xfId="0" applyFont="1" applyFill="1"/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17" fillId="0" borderId="1" xfId="0" applyFont="1" applyBorder="1"/>
    <xf numFmtId="1" fontId="17" fillId="0" borderId="1" xfId="0" applyNumberFormat="1" applyFont="1" applyBorder="1"/>
    <xf numFmtId="0" fontId="17" fillId="0" borderId="1" xfId="0" applyFont="1" applyBorder="1" applyAlignment="1">
      <alignment horizontal="left"/>
    </xf>
    <xf numFmtId="0" fontId="18" fillId="0" borderId="1" xfId="0" applyFont="1" applyBorder="1"/>
    <xf numFmtId="15" fontId="2" fillId="3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/>
    <xf numFmtId="0" fontId="19" fillId="6" borderId="8" xfId="0" applyFont="1" applyFill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3" fontId="19" fillId="6" borderId="43" xfId="0" applyNumberFormat="1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14" fontId="19" fillId="2" borderId="10" xfId="0" applyNumberFormat="1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3" fontId="20" fillId="2" borderId="45" xfId="0" applyNumberFormat="1" applyFont="1" applyFill="1" applyBorder="1" applyAlignment="1">
      <alignment horizontal="center" vertical="center"/>
    </xf>
    <xf numFmtId="164" fontId="20" fillId="2" borderId="45" xfId="0" applyNumberFormat="1" applyFont="1" applyFill="1" applyBorder="1" applyAlignment="1">
      <alignment horizontal="center" vertical="center"/>
    </xf>
    <xf numFmtId="164" fontId="20" fillId="2" borderId="46" xfId="0" applyNumberFormat="1" applyFont="1" applyFill="1" applyBorder="1" applyAlignment="1">
      <alignment horizontal="center" vertical="center"/>
    </xf>
    <xf numFmtId="0" fontId="19" fillId="2" borderId="46" xfId="0" applyFont="1" applyFill="1" applyBorder="1" applyAlignment="1">
      <alignment horizontal="center" vertical="center"/>
    </xf>
    <xf numFmtId="14" fontId="19" fillId="2" borderId="12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3" fontId="20" fillId="2" borderId="47" xfId="0" applyNumberFormat="1" applyFont="1" applyFill="1" applyBorder="1" applyAlignment="1">
      <alignment horizontal="center" vertical="center"/>
    </xf>
    <xf numFmtId="164" fontId="20" fillId="2" borderId="47" xfId="0" applyNumberFormat="1" applyFont="1" applyFill="1" applyBorder="1" applyAlignment="1">
      <alignment horizontal="center" vertical="center"/>
    </xf>
    <xf numFmtId="164" fontId="20" fillId="2" borderId="48" xfId="0" applyNumberFormat="1" applyFont="1" applyFill="1" applyBorder="1" applyAlignment="1">
      <alignment horizontal="center" vertical="center"/>
    </xf>
    <xf numFmtId="0" fontId="19" fillId="2" borderId="48" xfId="0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4" fontId="19" fillId="2" borderId="12" xfId="0" applyNumberFormat="1" applyFont="1" applyFill="1" applyBorder="1" applyAlignment="1">
      <alignment horizontal="center"/>
    </xf>
    <xf numFmtId="0" fontId="19" fillId="2" borderId="48" xfId="0" applyFont="1" applyFill="1" applyBorder="1"/>
    <xf numFmtId="3" fontId="19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19" fillId="2" borderId="13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3" fontId="20" fillId="0" borderId="49" xfId="0" applyNumberFormat="1" applyFont="1" applyBorder="1" applyAlignment="1">
      <alignment horizontal="center" vertical="center"/>
    </xf>
    <xf numFmtId="3" fontId="19" fillId="0" borderId="49" xfId="0" applyNumberFormat="1" applyFont="1" applyBorder="1" applyAlignment="1">
      <alignment horizontal="center" vertical="center"/>
    </xf>
    <xf numFmtId="164" fontId="19" fillId="0" borderId="49" xfId="0" applyNumberFormat="1" applyFont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14" fontId="19" fillId="2" borderId="14" xfId="0" applyNumberFormat="1" applyFont="1" applyFill="1" applyBorder="1" applyAlignment="1">
      <alignment horizontal="center"/>
    </xf>
    <xf numFmtId="0" fontId="19" fillId="2" borderId="49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3" fontId="20" fillId="0" borderId="44" xfId="0" applyNumberFormat="1" applyFont="1" applyBorder="1" applyAlignment="1">
      <alignment horizontal="center" vertical="center"/>
    </xf>
    <xf numFmtId="164" fontId="19" fillId="0" borderId="44" xfId="0" applyNumberFormat="1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 vertical="center"/>
    </xf>
    <xf numFmtId="14" fontId="19" fillId="0" borderId="12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3" fontId="19" fillId="2" borderId="44" xfId="0" applyNumberFormat="1" applyFont="1" applyFill="1" applyBorder="1" applyAlignment="1">
      <alignment horizontal="center" vertical="center"/>
    </xf>
    <xf numFmtId="164" fontId="19" fillId="2" borderId="44" xfId="0" applyNumberFormat="1" applyFont="1" applyFill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164" fontId="20" fillId="2" borderId="13" xfId="0" applyNumberFormat="1" applyFont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3" fontId="19" fillId="2" borderId="50" xfId="0" applyNumberFormat="1" applyFont="1" applyFill="1" applyBorder="1" applyAlignment="1">
      <alignment horizontal="center" vertical="center"/>
    </xf>
    <xf numFmtId="164" fontId="19" fillId="2" borderId="50" xfId="0" applyNumberFormat="1" applyFont="1" applyFill="1" applyBorder="1" applyAlignment="1">
      <alignment horizontal="center" vertical="center"/>
    </xf>
    <xf numFmtId="164" fontId="19" fillId="2" borderId="17" xfId="0" applyNumberFormat="1" applyFont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19" fillId="0" borderId="13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14" fontId="19" fillId="2" borderId="14" xfId="0" applyNumberFormat="1" applyFont="1" applyFill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14" fontId="19" fillId="2" borderId="51" xfId="0" applyNumberFormat="1" applyFont="1" applyFill="1" applyBorder="1" applyAlignment="1">
      <alignment horizontal="center" vertical="center"/>
    </xf>
    <xf numFmtId="0" fontId="19" fillId="2" borderId="52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3" fontId="19" fillId="0" borderId="52" xfId="0" applyNumberFormat="1" applyFont="1" applyBorder="1" applyAlignment="1">
      <alignment horizontal="center" vertical="center"/>
    </xf>
    <xf numFmtId="165" fontId="20" fillId="0" borderId="52" xfId="0" applyNumberFormat="1" applyFont="1" applyBorder="1" applyAlignment="1">
      <alignment horizontal="center" vertical="center"/>
    </xf>
    <xf numFmtId="165" fontId="19" fillId="0" borderId="53" xfId="0" applyNumberFormat="1" applyFont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/>
    </xf>
    <xf numFmtId="164" fontId="19" fillId="2" borderId="49" xfId="0" applyNumberFormat="1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" fontId="9" fillId="8" borderId="29" xfId="0" applyNumberFormat="1" applyFont="1" applyFill="1" applyBorder="1" applyAlignment="1">
      <alignment horizontal="center" vertical="center"/>
    </xf>
    <xf numFmtId="1" fontId="9" fillId="8" borderId="30" xfId="0" applyNumberFormat="1" applyFont="1" applyFill="1" applyBorder="1" applyAlignment="1">
      <alignment horizontal="center" vertical="center"/>
    </xf>
    <xf numFmtId="1" fontId="9" fillId="9" borderId="18" xfId="0" applyNumberFormat="1" applyFont="1" applyFill="1" applyBorder="1" applyAlignment="1">
      <alignment horizontal="center" vertical="center" wrapText="1"/>
    </xf>
    <xf numFmtId="1" fontId="9" fillId="9" borderId="10" xfId="0" applyNumberFormat="1" applyFont="1" applyFill="1" applyBorder="1" applyAlignment="1">
      <alignment horizontal="center" vertical="center"/>
    </xf>
    <xf numFmtId="1" fontId="9" fillId="9" borderId="12" xfId="0" applyNumberFormat="1" applyFont="1" applyFill="1" applyBorder="1" applyAlignment="1">
      <alignment horizontal="center" vertical="center"/>
    </xf>
    <xf numFmtId="1" fontId="9" fillId="9" borderId="14" xfId="0" applyNumberFormat="1" applyFont="1" applyFill="1" applyBorder="1" applyAlignment="1">
      <alignment horizontal="center" vertical="center"/>
    </xf>
    <xf numFmtId="1" fontId="9" fillId="9" borderId="20" xfId="0" applyNumberFormat="1" applyFont="1" applyFill="1" applyBorder="1" applyAlignment="1">
      <alignment horizontal="center" vertical="center"/>
    </xf>
    <xf numFmtId="2" fontId="9" fillId="9" borderId="19" xfId="0" applyNumberFormat="1" applyFont="1" applyFill="1" applyBorder="1" applyAlignment="1">
      <alignment horizontal="center" vertical="center" wrapText="1"/>
    </xf>
    <xf numFmtId="2" fontId="9" fillId="9" borderId="38" xfId="0" applyNumberFormat="1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0" fontId="9" fillId="8" borderId="38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left" vertical="top"/>
    </xf>
    <xf numFmtId="3" fontId="2" fillId="2" borderId="42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</cellXfs>
  <cellStyles count="5">
    <cellStyle name="Hiperłącze" xfId="2" builtinId="8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8EDEC"/>
      <color rgb="FFF5E4E3"/>
      <color rgb="FFFDE2CB"/>
      <color rgb="FF0000FF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9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9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192445984916986"/>
          <c:y val="1.42675913530260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dębicki</c:v>
                </c:pt>
                <c:pt idx="11">
                  <c:v>ropczycko-sędziszowski</c:v>
                </c:pt>
                <c:pt idx="12">
                  <c:v>łańcucki</c:v>
                </c:pt>
                <c:pt idx="13">
                  <c:v>sanocki</c:v>
                </c:pt>
                <c:pt idx="14">
                  <c:v>mielecki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906</c:v>
                </c:pt>
                <c:pt idx="1">
                  <c:v>1085</c:v>
                </c:pt>
                <c:pt idx="2">
                  <c:v>1161</c:v>
                </c:pt>
                <c:pt idx="3">
                  <c:v>1359</c:v>
                </c:pt>
                <c:pt idx="4">
                  <c:v>1620</c:v>
                </c:pt>
                <c:pt idx="5">
                  <c:v>1788</c:v>
                </c:pt>
                <c:pt idx="6">
                  <c:v>1903</c:v>
                </c:pt>
                <c:pt idx="7">
                  <c:v>2079</c:v>
                </c:pt>
                <c:pt idx="8">
                  <c:v>2504</c:v>
                </c:pt>
                <c:pt idx="9">
                  <c:v>2506</c:v>
                </c:pt>
                <c:pt idx="10">
                  <c:v>2617</c:v>
                </c:pt>
                <c:pt idx="11">
                  <c:v>2677</c:v>
                </c:pt>
                <c:pt idx="12">
                  <c:v>2679</c:v>
                </c:pt>
                <c:pt idx="13">
                  <c:v>2908</c:v>
                </c:pt>
                <c:pt idx="14">
                  <c:v>3037</c:v>
                </c:pt>
                <c:pt idx="15">
                  <c:v>3107</c:v>
                </c:pt>
                <c:pt idx="16">
                  <c:v>3129</c:v>
                </c:pt>
                <c:pt idx="17">
                  <c:v>3236</c:v>
                </c:pt>
                <c:pt idx="18">
                  <c:v>3279</c:v>
                </c:pt>
                <c:pt idx="19">
                  <c:v>3401</c:v>
                </c:pt>
                <c:pt idx="20">
                  <c:v>3957</c:v>
                </c:pt>
                <c:pt idx="21">
                  <c:v>4569</c:v>
                </c:pt>
                <c:pt idx="22">
                  <c:v>4809</c:v>
                </c:pt>
                <c:pt idx="23">
                  <c:v>5182</c:v>
                </c:pt>
                <c:pt idx="24">
                  <c:v>5253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leski</c:v>
                </c:pt>
                <c:pt idx="1">
                  <c:v>krośnieński</c:v>
                </c:pt>
                <c:pt idx="2">
                  <c:v>przemyski</c:v>
                </c:pt>
                <c:pt idx="3">
                  <c:v>brzozowski</c:v>
                </c:pt>
                <c:pt idx="4">
                  <c:v>bieszczadzki</c:v>
                </c:pt>
                <c:pt idx="5">
                  <c:v>sanocki</c:v>
                </c:pt>
                <c:pt idx="6">
                  <c:v>kolbuszowski</c:v>
                </c:pt>
                <c:pt idx="7">
                  <c:v>Krosno</c:v>
                </c:pt>
                <c:pt idx="8">
                  <c:v>tarnobrzeski </c:v>
                </c:pt>
                <c:pt idx="9">
                  <c:v>lubaczowski</c:v>
                </c:pt>
                <c:pt idx="10">
                  <c:v>Tarnobrzeg</c:v>
                </c:pt>
                <c:pt idx="11">
                  <c:v>stalowowolski</c:v>
                </c:pt>
                <c:pt idx="12">
                  <c:v>niżański</c:v>
                </c:pt>
                <c:pt idx="13">
                  <c:v>rzeszowski</c:v>
                </c:pt>
                <c:pt idx="14">
                  <c:v>ropczycko-sędziszowski</c:v>
                </c:pt>
                <c:pt idx="15">
                  <c:v>łańcucki</c:v>
                </c:pt>
                <c:pt idx="16">
                  <c:v>Przemyśl</c:v>
                </c:pt>
                <c:pt idx="17">
                  <c:v>leżajski</c:v>
                </c:pt>
                <c:pt idx="18">
                  <c:v>dębicki</c:v>
                </c:pt>
                <c:pt idx="19">
                  <c:v>strzyżowski</c:v>
                </c:pt>
                <c:pt idx="20">
                  <c:v>jasielski</c:v>
                </c:pt>
                <c:pt idx="21">
                  <c:v>jarosławski</c:v>
                </c:pt>
                <c:pt idx="22">
                  <c:v>mielecki</c:v>
                </c:pt>
                <c:pt idx="23">
                  <c:v>przeworski</c:v>
                </c:pt>
                <c:pt idx="24">
                  <c:v>Rzeszów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34</c:v>
                </c:pt>
                <c:pt idx="1">
                  <c:v>62</c:v>
                </c:pt>
                <c:pt idx="2">
                  <c:v>72</c:v>
                </c:pt>
                <c:pt idx="3">
                  <c:v>74</c:v>
                </c:pt>
                <c:pt idx="4">
                  <c:v>84</c:v>
                </c:pt>
                <c:pt idx="5">
                  <c:v>84</c:v>
                </c:pt>
                <c:pt idx="6">
                  <c:v>89</c:v>
                </c:pt>
                <c:pt idx="7">
                  <c:v>91</c:v>
                </c:pt>
                <c:pt idx="8">
                  <c:v>107</c:v>
                </c:pt>
                <c:pt idx="9">
                  <c:v>108</c:v>
                </c:pt>
                <c:pt idx="10">
                  <c:v>108</c:v>
                </c:pt>
                <c:pt idx="11">
                  <c:v>111</c:v>
                </c:pt>
                <c:pt idx="12">
                  <c:v>120</c:v>
                </c:pt>
                <c:pt idx="13">
                  <c:v>120</c:v>
                </c:pt>
                <c:pt idx="14">
                  <c:v>130</c:v>
                </c:pt>
                <c:pt idx="15">
                  <c:v>143</c:v>
                </c:pt>
                <c:pt idx="16">
                  <c:v>179</c:v>
                </c:pt>
                <c:pt idx="17">
                  <c:v>209</c:v>
                </c:pt>
                <c:pt idx="18">
                  <c:v>226</c:v>
                </c:pt>
                <c:pt idx="19">
                  <c:v>228</c:v>
                </c:pt>
                <c:pt idx="20">
                  <c:v>248</c:v>
                </c:pt>
                <c:pt idx="21">
                  <c:v>307</c:v>
                </c:pt>
                <c:pt idx="22">
                  <c:v>311</c:v>
                </c:pt>
                <c:pt idx="23">
                  <c:v>376</c:v>
                </c:pt>
                <c:pt idx="24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'10sort'!$C$4:$C$28</c:f>
              <c:strCache>
                <c:ptCount val="25"/>
                <c:pt idx="0">
                  <c:v>leski</c:v>
                </c:pt>
                <c:pt idx="1">
                  <c:v>rzeszowski</c:v>
                </c:pt>
                <c:pt idx="2">
                  <c:v>sanocki</c:v>
                </c:pt>
                <c:pt idx="3">
                  <c:v>kolbuszowski</c:v>
                </c:pt>
                <c:pt idx="4">
                  <c:v>krośnieński</c:v>
                </c:pt>
                <c:pt idx="5">
                  <c:v>Krosno</c:v>
                </c:pt>
                <c:pt idx="6">
                  <c:v>tarnobrzeski </c:v>
                </c:pt>
                <c:pt idx="7">
                  <c:v>przemyski</c:v>
                </c:pt>
                <c:pt idx="8">
                  <c:v>brzozowski</c:v>
                </c:pt>
                <c:pt idx="9">
                  <c:v>Rzeszów</c:v>
                </c:pt>
                <c:pt idx="10">
                  <c:v>Tarnobrzeg</c:v>
                </c:pt>
                <c:pt idx="11">
                  <c:v>bieszczadzki</c:v>
                </c:pt>
                <c:pt idx="12">
                  <c:v>dębicki</c:v>
                </c:pt>
                <c:pt idx="13">
                  <c:v>lubaczowski</c:v>
                </c:pt>
                <c:pt idx="14">
                  <c:v>stalowowolski</c:v>
                </c:pt>
                <c:pt idx="15">
                  <c:v>łańcucki</c:v>
                </c:pt>
                <c:pt idx="16">
                  <c:v>ropczycko-sędziszowski</c:v>
                </c:pt>
                <c:pt idx="17">
                  <c:v>niżański</c:v>
                </c:pt>
                <c:pt idx="18">
                  <c:v>jasielski</c:v>
                </c:pt>
                <c:pt idx="19">
                  <c:v>Przemyśl</c:v>
                </c:pt>
                <c:pt idx="20">
                  <c:v>strzyżowski</c:v>
                </c:pt>
                <c:pt idx="21">
                  <c:v>mielecki</c:v>
                </c:pt>
                <c:pt idx="22">
                  <c:v>leżajski</c:v>
                </c:pt>
                <c:pt idx="23">
                  <c:v>przeworski</c:v>
                </c:pt>
                <c:pt idx="24">
                  <c:v>jarosławski</c:v>
                </c:pt>
              </c:strCache>
            </c:strRef>
          </c:cat>
          <c:val>
            <c:numRef>
              <c:f>'10sort'!$D$4:$D$28</c:f>
              <c:numCache>
                <c:formatCode>#,##0</c:formatCode>
                <c:ptCount val="25"/>
                <c:pt idx="0" formatCode="General">
                  <c:v>21</c:v>
                </c:pt>
                <c:pt idx="1">
                  <c:v>29</c:v>
                </c:pt>
                <c:pt idx="2">
                  <c:v>31</c:v>
                </c:pt>
                <c:pt idx="3">
                  <c:v>36</c:v>
                </c:pt>
                <c:pt idx="4">
                  <c:v>48</c:v>
                </c:pt>
                <c:pt idx="5">
                  <c:v>54</c:v>
                </c:pt>
                <c:pt idx="6">
                  <c:v>64</c:v>
                </c:pt>
                <c:pt idx="7">
                  <c:v>68</c:v>
                </c:pt>
                <c:pt idx="8">
                  <c:v>72</c:v>
                </c:pt>
                <c:pt idx="9">
                  <c:v>76</c:v>
                </c:pt>
                <c:pt idx="10">
                  <c:v>78</c:v>
                </c:pt>
                <c:pt idx="11">
                  <c:v>80</c:v>
                </c:pt>
                <c:pt idx="12">
                  <c:v>88</c:v>
                </c:pt>
                <c:pt idx="13">
                  <c:v>93</c:v>
                </c:pt>
                <c:pt idx="14">
                  <c:v>93</c:v>
                </c:pt>
                <c:pt idx="15">
                  <c:v>99</c:v>
                </c:pt>
                <c:pt idx="16">
                  <c:v>100</c:v>
                </c:pt>
                <c:pt idx="17">
                  <c:v>107</c:v>
                </c:pt>
                <c:pt idx="18">
                  <c:v>137</c:v>
                </c:pt>
                <c:pt idx="19">
                  <c:v>147</c:v>
                </c:pt>
                <c:pt idx="20">
                  <c:v>173</c:v>
                </c:pt>
                <c:pt idx="21">
                  <c:v>178</c:v>
                </c:pt>
                <c:pt idx="22">
                  <c:v>183</c:v>
                </c:pt>
                <c:pt idx="23">
                  <c:v>200</c:v>
                </c:pt>
                <c:pt idx="24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bieszczadzki</c:v>
                </c:pt>
                <c:pt idx="3">
                  <c:v>leski</c:v>
                </c:pt>
                <c:pt idx="4">
                  <c:v>Przemyśl</c:v>
                </c:pt>
                <c:pt idx="5">
                  <c:v>Krosno</c:v>
                </c:pt>
                <c:pt idx="6">
                  <c:v>ropczycko-sędziszowski</c:v>
                </c:pt>
                <c:pt idx="7">
                  <c:v>niżański</c:v>
                </c:pt>
                <c:pt idx="8">
                  <c:v>Tarnobrzeg</c:v>
                </c:pt>
                <c:pt idx="9">
                  <c:v>krośnieński</c:v>
                </c:pt>
                <c:pt idx="10">
                  <c:v>tarnobrzeski </c:v>
                </c:pt>
                <c:pt idx="11">
                  <c:v>łańcucki</c:v>
                </c:pt>
                <c:pt idx="12">
                  <c:v>leżajski</c:v>
                </c:pt>
                <c:pt idx="13">
                  <c:v>sanocki</c:v>
                </c:pt>
                <c:pt idx="14">
                  <c:v>stalowowolski</c:v>
                </c:pt>
                <c:pt idx="15">
                  <c:v>lubaczowski</c:v>
                </c:pt>
                <c:pt idx="16">
                  <c:v>rzeszowski</c:v>
                </c:pt>
                <c:pt idx="17">
                  <c:v>kolbuszowski</c:v>
                </c:pt>
                <c:pt idx="18">
                  <c:v>jarosławski</c:v>
                </c:pt>
                <c:pt idx="19">
                  <c:v>dębicki</c:v>
                </c:pt>
                <c:pt idx="20">
                  <c:v>strzyżowski</c:v>
                </c:pt>
                <c:pt idx="21">
                  <c:v>jasielski</c:v>
                </c:pt>
                <c:pt idx="22">
                  <c:v>przeworski</c:v>
                </c:pt>
                <c:pt idx="23">
                  <c:v>Rzeszów</c:v>
                </c:pt>
                <c:pt idx="24">
                  <c:v>mielecki</c:v>
                </c:pt>
              </c:strCache>
            </c:strRef>
          </c:cat>
          <c:val>
            <c:numRef>
              <c:f>'11sort'!$D$4:$D$28</c:f>
              <c:numCache>
                <c:formatCode>#,##0</c:formatCode>
                <c:ptCount val="25"/>
                <c:pt idx="0" formatCode="General">
                  <c:v>2</c:v>
                </c:pt>
                <c:pt idx="1">
                  <c:v>19</c:v>
                </c:pt>
                <c:pt idx="2">
                  <c:v>27</c:v>
                </c:pt>
                <c:pt idx="3">
                  <c:v>32</c:v>
                </c:pt>
                <c:pt idx="4">
                  <c:v>40</c:v>
                </c:pt>
                <c:pt idx="5">
                  <c:v>42</c:v>
                </c:pt>
                <c:pt idx="6">
                  <c:v>49</c:v>
                </c:pt>
                <c:pt idx="7">
                  <c:v>51</c:v>
                </c:pt>
                <c:pt idx="8">
                  <c:v>53</c:v>
                </c:pt>
                <c:pt idx="9">
                  <c:v>56</c:v>
                </c:pt>
                <c:pt idx="10">
                  <c:v>58</c:v>
                </c:pt>
                <c:pt idx="11">
                  <c:v>60</c:v>
                </c:pt>
                <c:pt idx="12">
                  <c:v>65</c:v>
                </c:pt>
                <c:pt idx="13">
                  <c:v>66</c:v>
                </c:pt>
                <c:pt idx="14">
                  <c:v>68</c:v>
                </c:pt>
                <c:pt idx="15">
                  <c:v>69</c:v>
                </c:pt>
                <c:pt idx="16">
                  <c:v>71</c:v>
                </c:pt>
                <c:pt idx="17">
                  <c:v>75</c:v>
                </c:pt>
                <c:pt idx="18">
                  <c:v>93</c:v>
                </c:pt>
                <c:pt idx="19">
                  <c:v>96</c:v>
                </c:pt>
                <c:pt idx="20">
                  <c:v>126</c:v>
                </c:pt>
                <c:pt idx="21">
                  <c:v>138</c:v>
                </c:pt>
                <c:pt idx="22">
                  <c:v>172</c:v>
                </c:pt>
                <c:pt idx="23">
                  <c:v>266</c:v>
                </c:pt>
                <c:pt idx="24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stycznia danego roku</a:t>
            </a:r>
          </a:p>
        </c:rich>
      </c:tx>
      <c:layout>
        <c:manualLayout>
          <c:xMode val="edge"/>
          <c:yMode val="edge"/>
          <c:x val="0.18475039800352822"/>
          <c:y val="0.520744154526333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XXXIII!$L$2</c:f>
              <c:strCache>
                <c:ptCount val="1"/>
                <c:pt idx="0">
                  <c:v>Polska</c:v>
                </c:pt>
              </c:strCache>
            </c:strRef>
          </c:tx>
          <c:spPr>
            <a:ln w="57150" cmpd="dbl">
              <a:solidFill>
                <a:schemeClr val="tx1"/>
              </a:solidFill>
            </a:ln>
          </c:spPr>
          <c:marker>
            <c:symbol val="none"/>
          </c:marker>
          <c:val>
            <c:numRef>
              <c:f>XXXIII!$L$3:$L$36</c:f>
              <c:numCache>
                <c:formatCode>General</c:formatCode>
                <c:ptCount val="34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XXXIII!$K$3:$K$36</c15:sqref>
                        </c15:formulaRef>
                      </c:ext>
                    </c:extLst>
                    <c:numCache>
                      <c:formatCode>m/d/yyyy</c:formatCode>
                      <c:ptCount val="34"/>
                      <c:pt idx="0">
                        <c:v>32904</c:v>
                      </c:pt>
                      <c:pt idx="1">
                        <c:v>33269</c:v>
                      </c:pt>
                      <c:pt idx="2">
                        <c:v>33634</c:v>
                      </c:pt>
                      <c:pt idx="3">
                        <c:v>34000</c:v>
                      </c:pt>
                      <c:pt idx="4">
                        <c:v>34365</c:v>
                      </c:pt>
                      <c:pt idx="5">
                        <c:v>34730</c:v>
                      </c:pt>
                      <c:pt idx="6">
                        <c:v>35095</c:v>
                      </c:pt>
                      <c:pt idx="7">
                        <c:v>35461</c:v>
                      </c:pt>
                      <c:pt idx="8">
                        <c:v>35826</c:v>
                      </c:pt>
                      <c:pt idx="9">
                        <c:v>36191</c:v>
                      </c:pt>
                      <c:pt idx="10">
                        <c:v>36556</c:v>
                      </c:pt>
                      <c:pt idx="11">
                        <c:v>36922</c:v>
                      </c:pt>
                      <c:pt idx="12">
                        <c:v>37287</c:v>
                      </c:pt>
                      <c:pt idx="13">
                        <c:v>37652</c:v>
                      </c:pt>
                      <c:pt idx="14">
                        <c:v>38017</c:v>
                      </c:pt>
                      <c:pt idx="15">
                        <c:v>38383</c:v>
                      </c:pt>
                      <c:pt idx="16">
                        <c:v>38748</c:v>
                      </c:pt>
                      <c:pt idx="17">
                        <c:v>39113</c:v>
                      </c:pt>
                      <c:pt idx="18">
                        <c:v>39478</c:v>
                      </c:pt>
                      <c:pt idx="19">
                        <c:v>39844</c:v>
                      </c:pt>
                      <c:pt idx="20">
                        <c:v>40209</c:v>
                      </c:pt>
                      <c:pt idx="21">
                        <c:v>40574</c:v>
                      </c:pt>
                      <c:pt idx="22">
                        <c:v>40939</c:v>
                      </c:pt>
                      <c:pt idx="23">
                        <c:v>41305</c:v>
                      </c:pt>
                      <c:pt idx="24">
                        <c:v>41670</c:v>
                      </c:pt>
                      <c:pt idx="25">
                        <c:v>42035</c:v>
                      </c:pt>
                      <c:pt idx="26">
                        <c:v>42400</c:v>
                      </c:pt>
                      <c:pt idx="27">
                        <c:v>42766</c:v>
                      </c:pt>
                      <c:pt idx="28">
                        <c:v>43131</c:v>
                      </c:pt>
                      <c:pt idx="29">
                        <c:v>43496</c:v>
                      </c:pt>
                      <c:pt idx="30">
                        <c:v>43861</c:v>
                      </c:pt>
                      <c:pt idx="31">
                        <c:v>44227</c:v>
                      </c:pt>
                      <c:pt idx="32">
                        <c:v>44592</c:v>
                      </c:pt>
                      <c:pt idx="33">
                        <c:v>44957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XXXIII!$M$2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val>
            <c:numRef>
              <c:f>XXXIII!$M$3:$M$36</c:f>
              <c:numCache>
                <c:formatCode>General</c:formatCode>
                <c:ptCount val="34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>
                  <c:v>14</c:v>
                </c:pt>
                <c:pt idx="20">
                  <c:v>16.7</c:v>
                </c:pt>
                <c:pt idx="21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XXXIII!$K$3:$K$36</c15:sqref>
                        </c15:formulaRef>
                      </c:ext>
                    </c:extLst>
                    <c:numCache>
                      <c:formatCode>m/d/yyyy</c:formatCode>
                      <c:ptCount val="34"/>
                      <c:pt idx="0">
                        <c:v>32904</c:v>
                      </c:pt>
                      <c:pt idx="1">
                        <c:v>33269</c:v>
                      </c:pt>
                      <c:pt idx="2">
                        <c:v>33634</c:v>
                      </c:pt>
                      <c:pt idx="3">
                        <c:v>34000</c:v>
                      </c:pt>
                      <c:pt idx="4">
                        <c:v>34365</c:v>
                      </c:pt>
                      <c:pt idx="5">
                        <c:v>34730</c:v>
                      </c:pt>
                      <c:pt idx="6">
                        <c:v>35095</c:v>
                      </c:pt>
                      <c:pt idx="7">
                        <c:v>35461</c:v>
                      </c:pt>
                      <c:pt idx="8">
                        <c:v>35826</c:v>
                      </c:pt>
                      <c:pt idx="9">
                        <c:v>36191</c:v>
                      </c:pt>
                      <c:pt idx="10">
                        <c:v>36556</c:v>
                      </c:pt>
                      <c:pt idx="11">
                        <c:v>36922</c:v>
                      </c:pt>
                      <c:pt idx="12">
                        <c:v>37287</c:v>
                      </c:pt>
                      <c:pt idx="13">
                        <c:v>37652</c:v>
                      </c:pt>
                      <c:pt idx="14">
                        <c:v>38017</c:v>
                      </c:pt>
                      <c:pt idx="15">
                        <c:v>38383</c:v>
                      </c:pt>
                      <c:pt idx="16">
                        <c:v>38748</c:v>
                      </c:pt>
                      <c:pt idx="17">
                        <c:v>39113</c:v>
                      </c:pt>
                      <c:pt idx="18">
                        <c:v>39478</c:v>
                      </c:pt>
                      <c:pt idx="19">
                        <c:v>39844</c:v>
                      </c:pt>
                      <c:pt idx="20">
                        <c:v>40209</c:v>
                      </c:pt>
                      <c:pt idx="21">
                        <c:v>40574</c:v>
                      </c:pt>
                      <c:pt idx="22">
                        <c:v>40939</c:v>
                      </c:pt>
                      <c:pt idx="23">
                        <c:v>41305</c:v>
                      </c:pt>
                      <c:pt idx="24">
                        <c:v>41670</c:v>
                      </c:pt>
                      <c:pt idx="25">
                        <c:v>42035</c:v>
                      </c:pt>
                      <c:pt idx="26">
                        <c:v>42400</c:v>
                      </c:pt>
                      <c:pt idx="27">
                        <c:v>42766</c:v>
                      </c:pt>
                      <c:pt idx="28">
                        <c:v>43131</c:v>
                      </c:pt>
                      <c:pt idx="29">
                        <c:v>43496</c:v>
                      </c:pt>
                      <c:pt idx="30">
                        <c:v>43861</c:v>
                      </c:pt>
                      <c:pt idx="31">
                        <c:v>44227</c:v>
                      </c:pt>
                      <c:pt idx="32">
                        <c:v>44592</c:v>
                      </c:pt>
                      <c:pt idx="33">
                        <c:v>44957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accent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105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078963900004302"/>
          <c:y val="0.58571078400449872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302038841388206"/>
          <c:y val="0.5493827160493827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XXXIII!$C$2</c:f>
              <c:strCache>
                <c:ptCount val="1"/>
                <c:pt idx="0">
                  <c:v>POLSKA</c:v>
                </c:pt>
              </c:strCache>
            </c:strRef>
          </c:tx>
          <c:spPr>
            <a:ln w="63500" cmpd="dbl">
              <a:solidFill>
                <a:schemeClr val="tx1"/>
              </a:solidFill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XXXIII!$C$3:$C$36</c:f>
              <c:numCache>
                <c:formatCode>General</c:formatCode>
                <c:ptCount val="34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XXXIII!$D$2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XXXIII!$D$3:$D$36</c:f>
              <c:numCache>
                <c:formatCode>General</c:formatCode>
                <c:ptCount val="34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337005256281135"/>
          <c:y val="0.61040196364343347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523881894130952"/>
          <c:y val="0.580076200152400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60325" cmpd="dbl"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XXXIII!$E$3:$E$36</c:f>
              <c:numCache>
                <c:formatCode>#,##0</c:formatCode>
                <c:ptCount val="34"/>
                <c:pt idx="8">
                  <c:v>137367</c:v>
                </c:pt>
                <c:pt idx="9">
                  <c:v>164692</c:v>
                </c:pt>
                <c:pt idx="10">
                  <c:v>182168</c:v>
                </c:pt>
                <c:pt idx="11">
                  <c:v>195173</c:v>
                </c:pt>
                <c:pt idx="12">
                  <c:v>187519</c:v>
                </c:pt>
                <c:pt idx="13">
                  <c:v>182497</c:v>
                </c:pt>
                <c:pt idx="14">
                  <c:v>170293</c:v>
                </c:pt>
                <c:pt idx="15">
                  <c:v>163956</c:v>
                </c:pt>
                <c:pt idx="16">
                  <c:v>145246</c:v>
                </c:pt>
                <c:pt idx="17">
                  <c:v>126360</c:v>
                </c:pt>
                <c:pt idx="18">
                  <c:v>115567</c:v>
                </c:pt>
                <c:pt idx="19">
                  <c:v>141944</c:v>
                </c:pt>
                <c:pt idx="20">
                  <c:v>142263</c:v>
                </c:pt>
                <c:pt idx="21">
                  <c:v>146208</c:v>
                </c:pt>
                <c:pt idx="22">
                  <c:v>153807</c:v>
                </c:pt>
                <c:pt idx="23">
                  <c:v>154216</c:v>
                </c:pt>
                <c:pt idx="24">
                  <c:v>137932</c:v>
                </c:pt>
                <c:pt idx="25">
                  <c:v>123514</c:v>
                </c:pt>
                <c:pt idx="26">
                  <c:v>107567</c:v>
                </c:pt>
                <c:pt idx="27">
                  <c:v>90972</c:v>
                </c:pt>
                <c:pt idx="28">
                  <c:v>82933</c:v>
                </c:pt>
                <c:pt idx="29">
                  <c:v>75455</c:v>
                </c:pt>
                <c:pt idx="30">
                  <c:v>87326</c:v>
                </c:pt>
                <c:pt idx="31">
                  <c:v>77291</c:v>
                </c:pt>
                <c:pt idx="32">
                  <c:v>69046</c:v>
                </c:pt>
                <c:pt idx="33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XXXIII!$F$2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XXXIII!$F$3:$F$36</c:f>
              <c:numCache>
                <c:formatCode>#,##0</c:formatCode>
                <c:ptCount val="34"/>
                <c:pt idx="8">
                  <c:v>77793</c:v>
                </c:pt>
                <c:pt idx="9">
                  <c:v>87827</c:v>
                </c:pt>
                <c:pt idx="10">
                  <c:v>97270</c:v>
                </c:pt>
                <c:pt idx="11">
                  <c:v>100472</c:v>
                </c:pt>
                <c:pt idx="12">
                  <c:v>93772</c:v>
                </c:pt>
                <c:pt idx="13">
                  <c:v>92598</c:v>
                </c:pt>
                <c:pt idx="14">
                  <c:v>88723</c:v>
                </c:pt>
                <c:pt idx="15">
                  <c:v>87626</c:v>
                </c:pt>
                <c:pt idx="16">
                  <c:v>81490</c:v>
                </c:pt>
                <c:pt idx="17">
                  <c:v>73127</c:v>
                </c:pt>
                <c:pt idx="18">
                  <c:v>64122</c:v>
                </c:pt>
                <c:pt idx="19">
                  <c:v>71158</c:v>
                </c:pt>
                <c:pt idx="20">
                  <c:v>73359</c:v>
                </c:pt>
                <c:pt idx="21">
                  <c:v>77403</c:v>
                </c:pt>
                <c:pt idx="22">
                  <c:v>77880</c:v>
                </c:pt>
                <c:pt idx="23">
                  <c:v>77415</c:v>
                </c:pt>
                <c:pt idx="24">
                  <c:v>70305</c:v>
                </c:pt>
                <c:pt idx="25">
                  <c:v>63579</c:v>
                </c:pt>
                <c:pt idx="26">
                  <c:v>56384</c:v>
                </c:pt>
                <c:pt idx="27">
                  <c:v>48619</c:v>
                </c:pt>
                <c:pt idx="28">
                  <c:v>45024</c:v>
                </c:pt>
                <c:pt idx="29">
                  <c:v>40284</c:v>
                </c:pt>
                <c:pt idx="30">
                  <c:v>46036</c:v>
                </c:pt>
                <c:pt idx="31">
                  <c:v>41090</c:v>
                </c:pt>
                <c:pt idx="32">
                  <c:v>36088</c:v>
                </c:pt>
                <c:pt idx="33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XXXIII!$G$2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XXXIII!$G$3:$G$36</c:f>
              <c:numCache>
                <c:formatCode>#,##0</c:formatCode>
                <c:ptCount val="34"/>
                <c:pt idx="8">
                  <c:v>59574</c:v>
                </c:pt>
                <c:pt idx="9">
                  <c:v>76865</c:v>
                </c:pt>
                <c:pt idx="10">
                  <c:v>84898</c:v>
                </c:pt>
                <c:pt idx="11">
                  <c:v>94701</c:v>
                </c:pt>
                <c:pt idx="12">
                  <c:v>93747</c:v>
                </c:pt>
                <c:pt idx="13">
                  <c:v>89899</c:v>
                </c:pt>
                <c:pt idx="14">
                  <c:v>81570</c:v>
                </c:pt>
                <c:pt idx="15">
                  <c:v>76330</c:v>
                </c:pt>
                <c:pt idx="16">
                  <c:v>63756</c:v>
                </c:pt>
                <c:pt idx="17">
                  <c:v>53233</c:v>
                </c:pt>
                <c:pt idx="18">
                  <c:v>51445</c:v>
                </c:pt>
                <c:pt idx="19">
                  <c:v>70786</c:v>
                </c:pt>
                <c:pt idx="20">
                  <c:v>68904</c:v>
                </c:pt>
                <c:pt idx="21">
                  <c:v>68805</c:v>
                </c:pt>
                <c:pt idx="22">
                  <c:v>75927</c:v>
                </c:pt>
                <c:pt idx="23">
                  <c:v>76801</c:v>
                </c:pt>
                <c:pt idx="24">
                  <c:v>67627</c:v>
                </c:pt>
                <c:pt idx="25">
                  <c:v>59935</c:v>
                </c:pt>
                <c:pt idx="26">
                  <c:v>51183</c:v>
                </c:pt>
                <c:pt idx="27">
                  <c:v>42353</c:v>
                </c:pt>
                <c:pt idx="28">
                  <c:v>37909</c:v>
                </c:pt>
                <c:pt idx="29">
                  <c:v>35171</c:v>
                </c:pt>
                <c:pt idx="30">
                  <c:v>41290</c:v>
                </c:pt>
                <c:pt idx="31">
                  <c:v>36201</c:v>
                </c:pt>
                <c:pt idx="32">
                  <c:v>32958</c:v>
                </c:pt>
                <c:pt idx="33">
                  <c:v>26563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date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Offset val="100"/>
        <c:baseTimeUnit val="months"/>
      </c:date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0.14336997392796783"/>
          <c:y val="0.64112389177159324"/>
          <c:w val="0.71680742070302772"/>
          <c:h val="9.1217146243816299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9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województwo</c:v>
                </c:pt>
                <c:pt idx="1">
                  <c:v>jasielski</c:v>
                </c:pt>
                <c:pt idx="2">
                  <c:v>niżański</c:v>
                </c:pt>
                <c:pt idx="3">
                  <c:v>przeworski</c:v>
                </c:pt>
                <c:pt idx="4">
                  <c:v>strzyżowski</c:v>
                </c:pt>
                <c:pt idx="5">
                  <c:v>bieszczadzki</c:v>
                </c:pt>
                <c:pt idx="6">
                  <c:v>lubaczowski</c:v>
                </c:pt>
                <c:pt idx="7">
                  <c:v>przemyski</c:v>
                </c:pt>
                <c:pt idx="8">
                  <c:v>jarosławski</c:v>
                </c:pt>
                <c:pt idx="9">
                  <c:v>łańcucki</c:v>
                </c:pt>
                <c:pt idx="10">
                  <c:v>ropczycko-sędziszowski</c:v>
                </c:pt>
                <c:pt idx="11">
                  <c:v>Przemyśl</c:v>
                </c:pt>
                <c:pt idx="12">
                  <c:v>brzozowski</c:v>
                </c:pt>
                <c:pt idx="13">
                  <c:v>dębicki</c:v>
                </c:pt>
                <c:pt idx="14">
                  <c:v>leski</c:v>
                </c:pt>
                <c:pt idx="15">
                  <c:v>Tarnobrzeg</c:v>
                </c:pt>
                <c:pt idx="16">
                  <c:v>tarnobrzeski </c:v>
                </c:pt>
                <c:pt idx="17">
                  <c:v>Krosno</c:v>
                </c:pt>
                <c:pt idx="18">
                  <c:v>stalowowolski</c:v>
                </c:pt>
                <c:pt idx="19">
                  <c:v>leżajski</c:v>
                </c:pt>
                <c:pt idx="20">
                  <c:v>sanocki</c:v>
                </c:pt>
                <c:pt idx="21">
                  <c:v>mielecki</c:v>
                </c:pt>
                <c:pt idx="22">
                  <c:v>rzeszowski</c:v>
                </c:pt>
                <c:pt idx="23">
                  <c:v>kolbuszowski</c:v>
                </c:pt>
                <c:pt idx="24">
                  <c:v>Rzeszów</c:v>
                </c:pt>
                <c:pt idx="25">
                  <c:v>krośnieński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-276</c:v>
                </c:pt>
                <c:pt idx="1">
                  <c:v>-140</c:v>
                </c:pt>
                <c:pt idx="2">
                  <c:v>-104</c:v>
                </c:pt>
                <c:pt idx="3">
                  <c:v>-66</c:v>
                </c:pt>
                <c:pt idx="4">
                  <c:v>-59</c:v>
                </c:pt>
                <c:pt idx="5">
                  <c:v>-47</c:v>
                </c:pt>
                <c:pt idx="6">
                  <c:v>-40</c:v>
                </c:pt>
                <c:pt idx="7">
                  <c:v>-37</c:v>
                </c:pt>
                <c:pt idx="8">
                  <c:v>-35</c:v>
                </c:pt>
                <c:pt idx="9">
                  <c:v>-31</c:v>
                </c:pt>
                <c:pt idx="10">
                  <c:v>-30</c:v>
                </c:pt>
                <c:pt idx="11">
                  <c:v>-28</c:v>
                </c:pt>
                <c:pt idx="12">
                  <c:v>-18</c:v>
                </c:pt>
                <c:pt idx="13">
                  <c:v>-8</c:v>
                </c:pt>
                <c:pt idx="14">
                  <c:v>0</c:v>
                </c:pt>
                <c:pt idx="15">
                  <c:v>2</c:v>
                </c:pt>
                <c:pt idx="16">
                  <c:v>12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57</c:v>
                </c:pt>
                <c:pt idx="24">
                  <c:v>60</c:v>
                </c:pt>
                <c:pt idx="2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ropczycko-sędziszowski</c:v>
                </c:pt>
                <c:pt idx="12">
                  <c:v>sanocki</c:v>
                </c:pt>
                <c:pt idx="13">
                  <c:v>mielecki</c:v>
                </c:pt>
                <c:pt idx="14">
                  <c:v>dębicki</c:v>
                </c:pt>
                <c:pt idx="15">
                  <c:v>przemyski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489</c:v>
                </c:pt>
                <c:pt idx="1">
                  <c:v>512</c:v>
                </c:pt>
                <c:pt idx="2">
                  <c:v>588</c:v>
                </c:pt>
                <c:pt idx="3">
                  <c:v>704</c:v>
                </c:pt>
                <c:pt idx="4">
                  <c:v>795</c:v>
                </c:pt>
                <c:pt idx="5">
                  <c:v>834</c:v>
                </c:pt>
                <c:pt idx="6">
                  <c:v>868</c:v>
                </c:pt>
                <c:pt idx="7">
                  <c:v>1110</c:v>
                </c:pt>
                <c:pt idx="8">
                  <c:v>1225</c:v>
                </c:pt>
                <c:pt idx="9">
                  <c:v>1252</c:v>
                </c:pt>
                <c:pt idx="10">
                  <c:v>1315</c:v>
                </c:pt>
                <c:pt idx="11">
                  <c:v>1381</c:v>
                </c:pt>
                <c:pt idx="12">
                  <c:v>1423</c:v>
                </c:pt>
                <c:pt idx="13">
                  <c:v>1467</c:v>
                </c:pt>
                <c:pt idx="14">
                  <c:v>1533</c:v>
                </c:pt>
                <c:pt idx="15">
                  <c:v>1554</c:v>
                </c:pt>
                <c:pt idx="16">
                  <c:v>1594</c:v>
                </c:pt>
                <c:pt idx="17">
                  <c:v>1597</c:v>
                </c:pt>
                <c:pt idx="18">
                  <c:v>1698</c:v>
                </c:pt>
                <c:pt idx="19">
                  <c:v>1802</c:v>
                </c:pt>
                <c:pt idx="20">
                  <c:v>1953</c:v>
                </c:pt>
                <c:pt idx="21">
                  <c:v>2288</c:v>
                </c:pt>
                <c:pt idx="22">
                  <c:v>2336</c:v>
                </c:pt>
                <c:pt idx="23">
                  <c:v>2594</c:v>
                </c:pt>
                <c:pt idx="24">
                  <c:v>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27654538642851895"/>
          <c:y val="3.47423701265442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'3sort'!$D$4:$D$20</c:f>
              <c:numCache>
                <c:formatCode>0.0</c:formatCode>
                <c:ptCount val="17"/>
                <c:pt idx="0">
                  <c:v>3.3</c:v>
                </c:pt>
                <c:pt idx="1">
                  <c:v>3.9</c:v>
                </c:pt>
                <c:pt idx="2">
                  <c:v>4.3</c:v>
                </c:pt>
                <c:pt idx="3">
                  <c:v>4.5</c:v>
                </c:pt>
                <c:pt idx="4">
                  <c:v>4.7</c:v>
                </c:pt>
                <c:pt idx="5">
                  <c:v>4.8</c:v>
                </c:pt>
                <c:pt idx="6">
                  <c:v>5</c:v>
                </c:pt>
                <c:pt idx="7">
                  <c:v>5.4</c:v>
                </c:pt>
                <c:pt idx="8">
                  <c:v>5.7</c:v>
                </c:pt>
                <c:pt idx="9">
                  <c:v>6.1</c:v>
                </c:pt>
                <c:pt idx="10">
                  <c:v>7.2</c:v>
                </c:pt>
                <c:pt idx="11">
                  <c:v>7.3</c:v>
                </c:pt>
                <c:pt idx="12">
                  <c:v>7.5</c:v>
                </c:pt>
                <c:pt idx="13">
                  <c:v>7.9</c:v>
                </c:pt>
                <c:pt idx="14">
                  <c:v>8.1</c:v>
                </c:pt>
                <c:pt idx="15">
                  <c:v>8.8000000000000007</c:v>
                </c:pt>
                <c:pt idx="1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8801292390590288"/>
          <c:y val="3.19378591910301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Powiat stalowowolski</c:v>
                </c:pt>
                <c:pt idx="4">
                  <c:v>Powiat mielecki</c:v>
                </c:pt>
                <c:pt idx="5">
                  <c:v>POLSKA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tarnobrzeski</c:v>
                </c:pt>
                <c:pt idx="9">
                  <c:v>Powiat kolbuszowski</c:v>
                </c:pt>
                <c:pt idx="10">
                  <c:v>Powiat sanocki</c:v>
                </c:pt>
                <c:pt idx="11">
                  <c:v>PODKARPACKIE</c:v>
                </c:pt>
                <c:pt idx="12">
                  <c:v>Powiat krośnieński</c:v>
                </c:pt>
                <c:pt idx="13">
                  <c:v>Powiat łańcucki</c:v>
                </c:pt>
                <c:pt idx="14">
                  <c:v>Powiat m.Przemyśl</c:v>
                </c:pt>
                <c:pt idx="15">
                  <c:v>Powiat lubaczowski</c:v>
                </c:pt>
                <c:pt idx="16">
                  <c:v>Powiat ropczycko-sędziszowski</c:v>
                </c:pt>
                <c:pt idx="17">
                  <c:v>Powiat jarosławski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'4sort'!$D$4:$D$30</c:f>
              <c:numCache>
                <c:formatCode>0.0</c:formatCode>
                <c:ptCount val="27"/>
                <c:pt idx="0">
                  <c:v>3.3</c:v>
                </c:pt>
                <c:pt idx="1">
                  <c:v>4.2</c:v>
                </c:pt>
                <c:pt idx="2">
                  <c:v>5</c:v>
                </c:pt>
                <c:pt idx="3">
                  <c:v>5.0999999999999996</c:v>
                </c:pt>
                <c:pt idx="4">
                  <c:v>5.2</c:v>
                </c:pt>
                <c:pt idx="5">
                  <c:v>5.4</c:v>
                </c:pt>
                <c:pt idx="6">
                  <c:v>7.5</c:v>
                </c:pt>
                <c:pt idx="7">
                  <c:v>7.8</c:v>
                </c:pt>
                <c:pt idx="8">
                  <c:v>7.9</c:v>
                </c:pt>
                <c:pt idx="9">
                  <c:v>8.1999999999999993</c:v>
                </c:pt>
                <c:pt idx="10">
                  <c:v>8.5</c:v>
                </c:pt>
                <c:pt idx="11">
                  <c:v>9</c:v>
                </c:pt>
                <c:pt idx="12">
                  <c:v>9.1999999999999993</c:v>
                </c:pt>
                <c:pt idx="13">
                  <c:v>10</c:v>
                </c:pt>
                <c:pt idx="14">
                  <c:v>10.6</c:v>
                </c:pt>
                <c:pt idx="15">
                  <c:v>10.8</c:v>
                </c:pt>
                <c:pt idx="16">
                  <c:v>10.8</c:v>
                </c:pt>
                <c:pt idx="17">
                  <c:v>11.1</c:v>
                </c:pt>
                <c:pt idx="18">
                  <c:v>13.5</c:v>
                </c:pt>
                <c:pt idx="19">
                  <c:v>13.6</c:v>
                </c:pt>
                <c:pt idx="20">
                  <c:v>15.2</c:v>
                </c:pt>
                <c:pt idx="21">
                  <c:v>15.4</c:v>
                </c:pt>
                <c:pt idx="22">
                  <c:v>16.100000000000001</c:v>
                </c:pt>
                <c:pt idx="23">
                  <c:v>16.7</c:v>
                </c:pt>
                <c:pt idx="24">
                  <c:v>17.600000000000001</c:v>
                </c:pt>
                <c:pt idx="25">
                  <c:v>19.399999999999999</c:v>
                </c:pt>
                <c:pt idx="2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30270230792241981"/>
          <c:y val="2.90151982978374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leski</c:v>
                </c:pt>
                <c:pt idx="6">
                  <c:v>mielecki</c:v>
                </c:pt>
                <c:pt idx="7">
                  <c:v>dębicki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niżański</c:v>
                </c:pt>
                <c:pt idx="11">
                  <c:v>łańcucki</c:v>
                </c:pt>
                <c:pt idx="12">
                  <c:v>krośnieński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'5sort'!$D$4:$D$24</c:f>
              <c:numCache>
                <c:formatCode>#,##0</c:formatCode>
                <c:ptCount val="21"/>
                <c:pt idx="0" formatCode="General">
                  <c:v>699</c:v>
                </c:pt>
                <c:pt idx="1">
                  <c:v>823</c:v>
                </c:pt>
                <c:pt idx="2">
                  <c:v>1110</c:v>
                </c:pt>
                <c:pt idx="3">
                  <c:v>1258</c:v>
                </c:pt>
                <c:pt idx="4">
                  <c:v>1410</c:v>
                </c:pt>
                <c:pt idx="5">
                  <c:v>1505</c:v>
                </c:pt>
                <c:pt idx="6">
                  <c:v>1551</c:v>
                </c:pt>
                <c:pt idx="7">
                  <c:v>1558</c:v>
                </c:pt>
                <c:pt idx="8">
                  <c:v>1723</c:v>
                </c:pt>
                <c:pt idx="9">
                  <c:v>1738</c:v>
                </c:pt>
                <c:pt idx="10">
                  <c:v>2058</c:v>
                </c:pt>
                <c:pt idx="11">
                  <c:v>2126</c:v>
                </c:pt>
                <c:pt idx="12">
                  <c:v>2257</c:v>
                </c:pt>
                <c:pt idx="13">
                  <c:v>2509</c:v>
                </c:pt>
                <c:pt idx="14">
                  <c:v>2548</c:v>
                </c:pt>
                <c:pt idx="15">
                  <c:v>2838</c:v>
                </c:pt>
                <c:pt idx="16">
                  <c:v>2901</c:v>
                </c:pt>
                <c:pt idx="17">
                  <c:v>3026</c:v>
                </c:pt>
                <c:pt idx="18">
                  <c:v>3637</c:v>
                </c:pt>
                <c:pt idx="19">
                  <c:v>3745</c:v>
                </c:pt>
                <c:pt idx="20">
                  <c:v>3785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dębicki</c:v>
                </c:pt>
                <c:pt idx="8">
                  <c:v>krośnieński</c:v>
                </c:pt>
                <c:pt idx="9">
                  <c:v>leski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mielecki</c:v>
                </c:pt>
                <c:pt idx="13">
                  <c:v>sanocki</c:v>
                </c:pt>
                <c:pt idx="14">
                  <c:v>Przemyśl</c:v>
                </c:pt>
                <c:pt idx="15">
                  <c:v>niżański</c:v>
                </c:pt>
                <c:pt idx="16">
                  <c:v>przemyski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334</c:v>
                </c:pt>
                <c:pt idx="1">
                  <c:v>577</c:v>
                </c:pt>
                <c:pt idx="2">
                  <c:v>615</c:v>
                </c:pt>
                <c:pt idx="3">
                  <c:v>648</c:v>
                </c:pt>
                <c:pt idx="4">
                  <c:v>770</c:v>
                </c:pt>
                <c:pt idx="5">
                  <c:v>813</c:v>
                </c:pt>
                <c:pt idx="6">
                  <c:v>959</c:v>
                </c:pt>
                <c:pt idx="7">
                  <c:v>1003</c:v>
                </c:pt>
                <c:pt idx="8">
                  <c:v>1030</c:v>
                </c:pt>
                <c:pt idx="9">
                  <c:v>1094</c:v>
                </c:pt>
                <c:pt idx="10">
                  <c:v>1296</c:v>
                </c:pt>
                <c:pt idx="11">
                  <c:v>1349</c:v>
                </c:pt>
                <c:pt idx="12">
                  <c:v>1355</c:v>
                </c:pt>
                <c:pt idx="13">
                  <c:v>1443</c:v>
                </c:pt>
                <c:pt idx="14">
                  <c:v>1569</c:v>
                </c:pt>
                <c:pt idx="15">
                  <c:v>1709</c:v>
                </c:pt>
                <c:pt idx="16">
                  <c:v>1758</c:v>
                </c:pt>
                <c:pt idx="17">
                  <c:v>1797</c:v>
                </c:pt>
                <c:pt idx="18">
                  <c:v>1958</c:v>
                </c:pt>
                <c:pt idx="19">
                  <c:v>1990</c:v>
                </c:pt>
                <c:pt idx="20">
                  <c:v>2514</c:v>
                </c:pt>
                <c:pt idx="21">
                  <c:v>2533</c:v>
                </c:pt>
                <c:pt idx="22">
                  <c:v>2617</c:v>
                </c:pt>
                <c:pt idx="23">
                  <c:v>3076</c:v>
                </c:pt>
                <c:pt idx="24">
                  <c:v>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Przemyśl</c:v>
                </c:pt>
                <c:pt idx="5">
                  <c:v>leski</c:v>
                </c:pt>
                <c:pt idx="6">
                  <c:v>kolbuszowski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dębicki</c:v>
                </c:pt>
                <c:pt idx="11">
                  <c:v>łańcucki</c:v>
                </c:pt>
                <c:pt idx="12">
                  <c:v>sanocki</c:v>
                </c:pt>
                <c:pt idx="13">
                  <c:v>mielecki</c:v>
                </c:pt>
                <c:pt idx="14">
                  <c:v>ropczycko-sędziszowski</c:v>
                </c:pt>
                <c:pt idx="15">
                  <c:v>niżański</c:v>
                </c:pt>
                <c:pt idx="16">
                  <c:v>przemyski</c:v>
                </c:pt>
                <c:pt idx="17">
                  <c:v>strzyżowski</c:v>
                </c:pt>
                <c:pt idx="18">
                  <c:v>przeworski</c:v>
                </c:pt>
                <c:pt idx="19">
                  <c:v>leżajski</c:v>
                </c:pt>
                <c:pt idx="20">
                  <c:v>Rzeszów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jasielski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189</c:v>
                </c:pt>
                <c:pt idx="1">
                  <c:v>236</c:v>
                </c:pt>
                <c:pt idx="2">
                  <c:v>289</c:v>
                </c:pt>
                <c:pt idx="3">
                  <c:v>369</c:v>
                </c:pt>
                <c:pt idx="4">
                  <c:v>456</c:v>
                </c:pt>
                <c:pt idx="5">
                  <c:v>457</c:v>
                </c:pt>
                <c:pt idx="6">
                  <c:v>458</c:v>
                </c:pt>
                <c:pt idx="7">
                  <c:v>545</c:v>
                </c:pt>
                <c:pt idx="8">
                  <c:v>566</c:v>
                </c:pt>
                <c:pt idx="9">
                  <c:v>712</c:v>
                </c:pt>
                <c:pt idx="10">
                  <c:v>750</c:v>
                </c:pt>
                <c:pt idx="11">
                  <c:v>774</c:v>
                </c:pt>
                <c:pt idx="12">
                  <c:v>808</c:v>
                </c:pt>
                <c:pt idx="13">
                  <c:v>818</c:v>
                </c:pt>
                <c:pt idx="14">
                  <c:v>820</c:v>
                </c:pt>
                <c:pt idx="15">
                  <c:v>844</c:v>
                </c:pt>
                <c:pt idx="16">
                  <c:v>863</c:v>
                </c:pt>
                <c:pt idx="17">
                  <c:v>898</c:v>
                </c:pt>
                <c:pt idx="18">
                  <c:v>928</c:v>
                </c:pt>
                <c:pt idx="19">
                  <c:v>930</c:v>
                </c:pt>
                <c:pt idx="20">
                  <c:v>972</c:v>
                </c:pt>
                <c:pt idx="21">
                  <c:v>1053</c:v>
                </c:pt>
                <c:pt idx="22">
                  <c:v>1228</c:v>
                </c:pt>
                <c:pt idx="23">
                  <c:v>1306</c:v>
                </c:pt>
                <c:pt idx="24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stalowowolski</c:v>
                </c:pt>
                <c:pt idx="7">
                  <c:v>lubaczowski</c:v>
                </c:pt>
                <c:pt idx="8">
                  <c:v>ropczycko-sędziszowski</c:v>
                </c:pt>
                <c:pt idx="9">
                  <c:v>dębicki</c:v>
                </c:pt>
                <c:pt idx="10">
                  <c:v>łańcucki</c:v>
                </c:pt>
                <c:pt idx="11">
                  <c:v>krośnieński</c:v>
                </c:pt>
                <c:pt idx="12">
                  <c:v>sanocki</c:v>
                </c:pt>
                <c:pt idx="13">
                  <c:v>niżański</c:v>
                </c:pt>
                <c:pt idx="14">
                  <c:v>Przemyśl</c:v>
                </c:pt>
                <c:pt idx="15">
                  <c:v>przeworski</c:v>
                </c:pt>
                <c:pt idx="16">
                  <c:v>mielecki</c:v>
                </c:pt>
                <c:pt idx="17">
                  <c:v>przemyski</c:v>
                </c:pt>
                <c:pt idx="18">
                  <c:v>strzyżowski</c:v>
                </c:pt>
                <c:pt idx="19">
                  <c:v>leżajski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216</c:v>
                </c:pt>
                <c:pt idx="1">
                  <c:v>247</c:v>
                </c:pt>
                <c:pt idx="2">
                  <c:v>312</c:v>
                </c:pt>
                <c:pt idx="3">
                  <c:v>377</c:v>
                </c:pt>
                <c:pt idx="4">
                  <c:v>421</c:v>
                </c:pt>
                <c:pt idx="5">
                  <c:v>452</c:v>
                </c:pt>
                <c:pt idx="6">
                  <c:v>521</c:v>
                </c:pt>
                <c:pt idx="7">
                  <c:v>526</c:v>
                </c:pt>
                <c:pt idx="8">
                  <c:v>595</c:v>
                </c:pt>
                <c:pt idx="9">
                  <c:v>607</c:v>
                </c:pt>
                <c:pt idx="10">
                  <c:v>611</c:v>
                </c:pt>
                <c:pt idx="11">
                  <c:v>625</c:v>
                </c:pt>
                <c:pt idx="12">
                  <c:v>651</c:v>
                </c:pt>
                <c:pt idx="13">
                  <c:v>726</c:v>
                </c:pt>
                <c:pt idx="14">
                  <c:v>738</c:v>
                </c:pt>
                <c:pt idx="15">
                  <c:v>747</c:v>
                </c:pt>
                <c:pt idx="16">
                  <c:v>749</c:v>
                </c:pt>
                <c:pt idx="17">
                  <c:v>761</c:v>
                </c:pt>
                <c:pt idx="18">
                  <c:v>775</c:v>
                </c:pt>
                <c:pt idx="19">
                  <c:v>781</c:v>
                </c:pt>
                <c:pt idx="20">
                  <c:v>991</c:v>
                </c:pt>
                <c:pt idx="21">
                  <c:v>1085</c:v>
                </c:pt>
                <c:pt idx="22">
                  <c:v>1154</c:v>
                </c:pt>
                <c:pt idx="23">
                  <c:v>1206</c:v>
                </c:pt>
                <c:pt idx="24">
                  <c:v>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1080521</xdr:colOff>
      <xdr:row>1</xdr:row>
      <xdr:rowOff>175041</xdr:rowOff>
    </xdr:from>
    <xdr:to>
      <xdr:col>19</xdr:col>
      <xdr:colOff>142874</xdr:colOff>
      <xdr:row>19</xdr:row>
      <xdr:rowOff>39121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47626</xdr:colOff>
      <xdr:row>19</xdr:row>
      <xdr:rowOff>95247</xdr:rowOff>
    </xdr:from>
    <xdr:to>
      <xdr:col>19</xdr:col>
      <xdr:colOff>51028</xdr:colOff>
      <xdr:row>41</xdr:row>
      <xdr:rowOff>119059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369095</xdr:colOff>
      <xdr:row>1</xdr:row>
      <xdr:rowOff>47624</xdr:rowOff>
    </xdr:from>
    <xdr:to>
      <xdr:col>3</xdr:col>
      <xdr:colOff>597696</xdr:colOff>
      <xdr:row>1</xdr:row>
      <xdr:rowOff>161924</xdr:rowOff>
    </xdr:to>
    <xdr:sp macro="" textlink="">
      <xdr:nvSpPr>
        <xdr:cNvPr id="8" name="Schemat blokowy: scalanie 7">
          <a:extLst>
            <a:ext uri="{FF2B5EF4-FFF2-40B4-BE49-F238E27FC236}">
              <a16:creationId xmlns:a16="http://schemas.microsoft.com/office/drawing/2014/main" id="{9D25CEBA-8D03-4A3D-84C3-8BA295C2D2AC}"/>
            </a:ext>
          </a:extLst>
        </xdr:cNvPr>
        <xdr:cNvSpPr/>
      </xdr:nvSpPr>
      <xdr:spPr>
        <a:xfrm>
          <a:off x="2619376" y="226218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190501</xdr:colOff>
      <xdr:row>0</xdr:row>
      <xdr:rowOff>150020</xdr:rowOff>
    </xdr:from>
    <xdr:to>
      <xdr:col>24</xdr:col>
      <xdr:colOff>23812</xdr:colOff>
      <xdr:row>13</xdr:row>
      <xdr:rowOff>83344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276222</xdr:colOff>
      <xdr:row>13</xdr:row>
      <xdr:rowOff>69058</xdr:rowOff>
    </xdr:from>
    <xdr:to>
      <xdr:col>24</xdr:col>
      <xdr:colOff>95248</xdr:colOff>
      <xdr:row>26</xdr:row>
      <xdr:rowOff>135732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26</xdr:row>
      <xdr:rowOff>71436</xdr:rowOff>
    </xdr:from>
    <xdr:to>
      <xdr:col>24</xdr:col>
      <xdr:colOff>35718</xdr:colOff>
      <xdr:row>39</xdr:row>
      <xdr:rowOff>140493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175945</xdr:colOff>
      <xdr:row>2</xdr:row>
      <xdr:rowOff>84402</xdr:rowOff>
    </xdr:from>
    <xdr:to>
      <xdr:col>18</xdr:col>
      <xdr:colOff>488155</xdr:colOff>
      <xdr:row>19</xdr:row>
      <xdr:rowOff>71437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18</xdr:col>
      <xdr:colOff>190501</xdr:colOff>
      <xdr:row>23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5.85546875" style="3" customWidth="1"/>
    <col min="4" max="4" width="15.28515625" style="3" customWidth="1"/>
    <col min="5" max="5" width="15.140625" style="3" customWidth="1"/>
    <col min="6" max="6" width="16" style="3" customWidth="1"/>
    <col min="7" max="7" width="16.5703125" style="3" customWidth="1"/>
    <col min="8" max="8" width="6.28515625" style="3" customWidth="1"/>
    <col min="9" max="13" width="0" style="3" hidden="1" customWidth="1"/>
    <col min="14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55" t="s">
        <v>27</v>
      </c>
      <c r="C2" s="56" t="s">
        <v>138</v>
      </c>
      <c r="D2" s="57" t="s">
        <v>140</v>
      </c>
      <c r="E2" s="56" t="s">
        <v>76</v>
      </c>
      <c r="F2" s="57" t="s">
        <v>139</v>
      </c>
      <c r="G2" s="56" t="s">
        <v>26</v>
      </c>
    </row>
    <row r="3" spans="2:7" x14ac:dyDescent="0.2">
      <c r="B3" s="5" t="s">
        <v>0</v>
      </c>
      <c r="C3" s="6">
        <v>1085</v>
      </c>
      <c r="D3" s="61">
        <v>1132</v>
      </c>
      <c r="E3" s="6">
        <f>SUM(C3)-D3</f>
        <v>-47</v>
      </c>
      <c r="F3" s="61">
        <v>1168</v>
      </c>
      <c r="G3" s="6">
        <f>SUM(C3)-F3</f>
        <v>-83</v>
      </c>
    </row>
    <row r="4" spans="2:7" x14ac:dyDescent="0.2">
      <c r="B4" s="5" t="s">
        <v>1</v>
      </c>
      <c r="C4" s="6">
        <v>3957</v>
      </c>
      <c r="D4" s="61">
        <v>3975</v>
      </c>
      <c r="E4" s="6">
        <f t="shared" ref="E4:E27" si="0">SUM(C4)-D4</f>
        <v>-18</v>
      </c>
      <c r="F4" s="61">
        <v>4127</v>
      </c>
      <c r="G4" s="6">
        <f t="shared" ref="G4:G27" si="1">SUM(C4)-F4</f>
        <v>-170</v>
      </c>
    </row>
    <row r="5" spans="2:7" x14ac:dyDescent="0.2">
      <c r="B5" s="5" t="s">
        <v>2</v>
      </c>
      <c r="C5" s="6">
        <v>2617</v>
      </c>
      <c r="D5" s="61">
        <v>2625</v>
      </c>
      <c r="E5" s="6">
        <f t="shared" si="0"/>
        <v>-8</v>
      </c>
      <c r="F5" s="61">
        <v>2632</v>
      </c>
      <c r="G5" s="6">
        <f t="shared" si="1"/>
        <v>-15</v>
      </c>
    </row>
    <row r="6" spans="2:7" x14ac:dyDescent="0.2">
      <c r="B6" s="5" t="s">
        <v>3</v>
      </c>
      <c r="C6" s="6">
        <v>4569</v>
      </c>
      <c r="D6" s="61">
        <v>4604</v>
      </c>
      <c r="E6" s="6">
        <f t="shared" si="0"/>
        <v>-35</v>
      </c>
      <c r="F6" s="61">
        <v>4843</v>
      </c>
      <c r="G6" s="6">
        <f t="shared" si="1"/>
        <v>-274</v>
      </c>
    </row>
    <row r="7" spans="2:7" x14ac:dyDescent="0.2">
      <c r="B7" s="5" t="s">
        <v>4</v>
      </c>
      <c r="C7" s="6">
        <v>5253</v>
      </c>
      <c r="D7" s="61">
        <v>5393</v>
      </c>
      <c r="E7" s="6">
        <f t="shared" si="0"/>
        <v>-140</v>
      </c>
      <c r="F7" s="61">
        <v>5156</v>
      </c>
      <c r="G7" s="6">
        <f t="shared" si="1"/>
        <v>97</v>
      </c>
    </row>
    <row r="8" spans="2:7" x14ac:dyDescent="0.2">
      <c r="B8" s="5" t="s">
        <v>5</v>
      </c>
      <c r="C8" s="6">
        <v>1620</v>
      </c>
      <c r="D8" s="61">
        <v>1563</v>
      </c>
      <c r="E8" s="6">
        <f t="shared" si="0"/>
        <v>57</v>
      </c>
      <c r="F8" s="61">
        <v>1710</v>
      </c>
      <c r="G8" s="6">
        <f t="shared" si="1"/>
        <v>-90</v>
      </c>
    </row>
    <row r="9" spans="2:7" x14ac:dyDescent="0.2">
      <c r="B9" s="9" t="s">
        <v>6</v>
      </c>
      <c r="C9" s="6">
        <v>2504</v>
      </c>
      <c r="D9" s="61">
        <v>2437</v>
      </c>
      <c r="E9" s="6">
        <f t="shared" si="0"/>
        <v>67</v>
      </c>
      <c r="F9" s="61">
        <v>2228</v>
      </c>
      <c r="G9" s="6">
        <f t="shared" si="1"/>
        <v>276</v>
      </c>
    </row>
    <row r="10" spans="2:7" x14ac:dyDescent="0.2">
      <c r="B10" s="5" t="s">
        <v>7</v>
      </c>
      <c r="C10" s="6">
        <v>1788</v>
      </c>
      <c r="D10" s="61">
        <v>1788</v>
      </c>
      <c r="E10" s="6">
        <f t="shared" si="0"/>
        <v>0</v>
      </c>
      <c r="F10" s="61">
        <v>1813</v>
      </c>
      <c r="G10" s="6">
        <f t="shared" si="1"/>
        <v>-25</v>
      </c>
    </row>
    <row r="11" spans="2:7" x14ac:dyDescent="0.2">
      <c r="B11" s="5" t="s">
        <v>8</v>
      </c>
      <c r="C11" s="6">
        <v>3279</v>
      </c>
      <c r="D11" s="61">
        <v>3262</v>
      </c>
      <c r="E11" s="6">
        <f t="shared" si="0"/>
        <v>17</v>
      </c>
      <c r="F11" s="61">
        <v>3283</v>
      </c>
      <c r="G11" s="6">
        <f t="shared" si="1"/>
        <v>-4</v>
      </c>
    </row>
    <row r="12" spans="2:7" x14ac:dyDescent="0.2">
      <c r="B12" s="5" t="s">
        <v>9</v>
      </c>
      <c r="C12" s="6">
        <v>1903</v>
      </c>
      <c r="D12" s="61">
        <v>1943</v>
      </c>
      <c r="E12" s="6">
        <f t="shared" si="0"/>
        <v>-40</v>
      </c>
      <c r="F12" s="61">
        <v>1954</v>
      </c>
      <c r="G12" s="6">
        <f t="shared" si="1"/>
        <v>-51</v>
      </c>
    </row>
    <row r="13" spans="2:7" x14ac:dyDescent="0.2">
      <c r="B13" s="5" t="s">
        <v>10</v>
      </c>
      <c r="C13" s="6">
        <v>2679</v>
      </c>
      <c r="D13" s="61">
        <v>2710</v>
      </c>
      <c r="E13" s="6">
        <f t="shared" si="0"/>
        <v>-31</v>
      </c>
      <c r="F13" s="61">
        <v>2797</v>
      </c>
      <c r="G13" s="6">
        <f t="shared" si="1"/>
        <v>-118</v>
      </c>
    </row>
    <row r="14" spans="2:7" x14ac:dyDescent="0.2">
      <c r="B14" s="5" t="s">
        <v>11</v>
      </c>
      <c r="C14" s="6">
        <v>3037</v>
      </c>
      <c r="D14" s="61">
        <v>2994</v>
      </c>
      <c r="E14" s="6">
        <f t="shared" si="0"/>
        <v>43</v>
      </c>
      <c r="F14" s="61">
        <v>2769</v>
      </c>
      <c r="G14" s="6">
        <f t="shared" si="1"/>
        <v>268</v>
      </c>
    </row>
    <row r="15" spans="2:7" x14ac:dyDescent="0.2">
      <c r="B15" s="5" t="s">
        <v>12</v>
      </c>
      <c r="C15" s="6">
        <v>3129</v>
      </c>
      <c r="D15" s="61">
        <v>3233</v>
      </c>
      <c r="E15" s="6">
        <f t="shared" si="0"/>
        <v>-104</v>
      </c>
      <c r="F15" s="61">
        <v>3248</v>
      </c>
      <c r="G15" s="6">
        <f t="shared" si="1"/>
        <v>-119</v>
      </c>
    </row>
    <row r="16" spans="2:7" x14ac:dyDescent="0.2">
      <c r="B16" s="5" t="s">
        <v>13</v>
      </c>
      <c r="C16" s="6">
        <v>3107</v>
      </c>
      <c r="D16" s="61">
        <v>3144</v>
      </c>
      <c r="E16" s="6">
        <f t="shared" si="0"/>
        <v>-37</v>
      </c>
      <c r="F16" s="61">
        <v>3149</v>
      </c>
      <c r="G16" s="6">
        <f t="shared" si="1"/>
        <v>-42</v>
      </c>
    </row>
    <row r="17" spans="2:7" x14ac:dyDescent="0.2">
      <c r="B17" s="5" t="s">
        <v>14</v>
      </c>
      <c r="C17" s="6">
        <v>3401</v>
      </c>
      <c r="D17" s="61">
        <v>3467</v>
      </c>
      <c r="E17" s="6">
        <f t="shared" si="0"/>
        <v>-66</v>
      </c>
      <c r="F17" s="61">
        <v>3596</v>
      </c>
      <c r="G17" s="6">
        <f t="shared" si="1"/>
        <v>-195</v>
      </c>
    </row>
    <row r="18" spans="2:7" x14ac:dyDescent="0.2">
      <c r="B18" s="5" t="s">
        <v>15</v>
      </c>
      <c r="C18" s="6">
        <v>2677</v>
      </c>
      <c r="D18" s="61">
        <v>2707</v>
      </c>
      <c r="E18" s="6">
        <f t="shared" si="0"/>
        <v>-30</v>
      </c>
      <c r="F18" s="61">
        <v>2836</v>
      </c>
      <c r="G18" s="6">
        <f t="shared" si="1"/>
        <v>-159</v>
      </c>
    </row>
    <row r="19" spans="2:7" x14ac:dyDescent="0.2">
      <c r="B19" s="5" t="s">
        <v>16</v>
      </c>
      <c r="C19" s="6">
        <v>4809</v>
      </c>
      <c r="D19" s="61">
        <v>4760</v>
      </c>
      <c r="E19" s="6">
        <f t="shared" si="0"/>
        <v>49</v>
      </c>
      <c r="F19" s="61">
        <v>5092</v>
      </c>
      <c r="G19" s="6">
        <f t="shared" si="1"/>
        <v>-283</v>
      </c>
    </row>
    <row r="20" spans="2:7" x14ac:dyDescent="0.2">
      <c r="B20" s="5" t="s">
        <v>17</v>
      </c>
      <c r="C20" s="6">
        <v>2908</v>
      </c>
      <c r="D20" s="61">
        <v>2879</v>
      </c>
      <c r="E20" s="6">
        <f t="shared" si="0"/>
        <v>29</v>
      </c>
      <c r="F20" s="61">
        <v>2840</v>
      </c>
      <c r="G20" s="6">
        <f t="shared" si="1"/>
        <v>68</v>
      </c>
    </row>
    <row r="21" spans="2:7" x14ac:dyDescent="0.2">
      <c r="B21" s="5" t="s">
        <v>18</v>
      </c>
      <c r="C21" s="6">
        <v>2079</v>
      </c>
      <c r="D21" s="61">
        <v>2063</v>
      </c>
      <c r="E21" s="6">
        <f t="shared" si="0"/>
        <v>16</v>
      </c>
      <c r="F21" s="61">
        <v>2013</v>
      </c>
      <c r="G21" s="6">
        <f t="shared" si="1"/>
        <v>66</v>
      </c>
    </row>
    <row r="22" spans="2:7" x14ac:dyDescent="0.2">
      <c r="B22" s="5" t="s">
        <v>19</v>
      </c>
      <c r="C22" s="6">
        <v>3236</v>
      </c>
      <c r="D22" s="61">
        <v>3295</v>
      </c>
      <c r="E22" s="6">
        <f t="shared" si="0"/>
        <v>-59</v>
      </c>
      <c r="F22" s="61">
        <v>3417</v>
      </c>
      <c r="G22" s="6">
        <f t="shared" si="1"/>
        <v>-181</v>
      </c>
    </row>
    <row r="23" spans="2:7" x14ac:dyDescent="0.2">
      <c r="B23" s="5" t="s">
        <v>20</v>
      </c>
      <c r="C23" s="6">
        <v>1359</v>
      </c>
      <c r="D23" s="61">
        <v>1347</v>
      </c>
      <c r="E23" s="6">
        <f t="shared" si="0"/>
        <v>12</v>
      </c>
      <c r="F23" s="61">
        <v>1376</v>
      </c>
      <c r="G23" s="6">
        <f t="shared" si="1"/>
        <v>-17</v>
      </c>
    </row>
    <row r="24" spans="2:7" x14ac:dyDescent="0.2">
      <c r="B24" s="5" t="s">
        <v>21</v>
      </c>
      <c r="C24" s="6">
        <v>906</v>
      </c>
      <c r="D24" s="61">
        <v>891</v>
      </c>
      <c r="E24" s="6">
        <f t="shared" si="0"/>
        <v>15</v>
      </c>
      <c r="F24" s="61">
        <v>802</v>
      </c>
      <c r="G24" s="6">
        <f t="shared" si="1"/>
        <v>104</v>
      </c>
    </row>
    <row r="25" spans="2:7" x14ac:dyDescent="0.2">
      <c r="B25" s="5" t="s">
        <v>22</v>
      </c>
      <c r="C25" s="6">
        <v>2506</v>
      </c>
      <c r="D25" s="61">
        <v>2534</v>
      </c>
      <c r="E25" s="6">
        <f t="shared" si="0"/>
        <v>-28</v>
      </c>
      <c r="F25" s="61">
        <v>2556</v>
      </c>
      <c r="G25" s="6">
        <f t="shared" si="1"/>
        <v>-50</v>
      </c>
    </row>
    <row r="26" spans="2:7" x14ac:dyDescent="0.2">
      <c r="B26" s="5" t="s">
        <v>23</v>
      </c>
      <c r="C26" s="6">
        <v>5182</v>
      </c>
      <c r="D26" s="61">
        <v>5122</v>
      </c>
      <c r="E26" s="6">
        <f t="shared" si="0"/>
        <v>60</v>
      </c>
      <c r="F26" s="61">
        <v>5508</v>
      </c>
      <c r="G26" s="6">
        <f t="shared" si="1"/>
        <v>-326</v>
      </c>
    </row>
    <row r="27" spans="2:7" x14ac:dyDescent="0.2">
      <c r="B27" s="5" t="s">
        <v>24</v>
      </c>
      <c r="C27" s="6">
        <v>1161</v>
      </c>
      <c r="D27" s="61">
        <v>1159</v>
      </c>
      <c r="E27" s="6">
        <f t="shared" si="0"/>
        <v>2</v>
      </c>
      <c r="F27" s="61">
        <v>1155</v>
      </c>
      <c r="G27" s="6">
        <f t="shared" si="1"/>
        <v>6</v>
      </c>
    </row>
    <row r="28" spans="2:7" ht="15" x14ac:dyDescent="0.25">
      <c r="B28" s="58" t="s">
        <v>25</v>
      </c>
      <c r="C28" s="59">
        <f>SUM(C3:C27)</f>
        <v>70751</v>
      </c>
      <c r="D28" s="60">
        <f>SUM(D3:D27)</f>
        <v>71027</v>
      </c>
      <c r="E28" s="59">
        <f>SUM(C28)-D28</f>
        <v>-276</v>
      </c>
      <c r="F28" s="60">
        <f>SUM(F3:F27)</f>
        <v>72068</v>
      </c>
      <c r="G28" s="59">
        <f>SUM(C28)-F28</f>
        <v>-1317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5" width="14.85546875" style="3" customWidth="1"/>
    <col min="6" max="6" width="17" style="3" customWidth="1"/>
    <col min="7" max="7" width="15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62" t="s">
        <v>86</v>
      </c>
      <c r="C3" s="55" t="str">
        <f>T('2kob.'!B2)</f>
        <v>powiaty</v>
      </c>
      <c r="D3" s="55" t="str">
        <f>T('2kob.'!C2)</f>
        <v>liczba bezrobotnych kobiet stan na 29-02-'24 r.</v>
      </c>
      <c r="E3" s="55" t="str">
        <f>T('2kob.'!D2)</f>
        <v>liczba bezrobotnych kobiet stan na 31-01-'24 r.</v>
      </c>
      <c r="F3" s="55" t="str">
        <f>T('2kob.'!E2)</f>
        <v>wzrost/spadek do poprzedniego  miesiąca</v>
      </c>
      <c r="G3" s="55" t="str">
        <f>T('2kob.'!F2)</f>
        <v>liczba bezrobotnych kobiet stan na 28-02-'23 r.</v>
      </c>
      <c r="H3" s="55" t="str">
        <f>T('2kob.'!G2)</f>
        <v>wzrost/spadek do analogicznego okresu ubr.</v>
      </c>
    </row>
    <row r="4" spans="1:8" x14ac:dyDescent="0.2">
      <c r="A4" s="3">
        <v>1</v>
      </c>
      <c r="B4" s="6">
        <f>RANK('5bezr. na wsi'!C3,'5bezr. na wsi'!$C$3:'5bezr. na wsi'!$C$28,1)+COUNTIF('5bezr. na wsi'!$C$3:'5bezr. na wsi'!C3,'5bezr. na wsi'!C3)-1</f>
        <v>1</v>
      </c>
      <c r="C4" s="5" t="str">
        <f>INDEX('5bezr. na wsi'!B3:G28,MATCH(1,B4:B25,0),1)</f>
        <v>bieszczadzki</v>
      </c>
      <c r="D4" s="25">
        <f>INDEX('5bezr. na wsi'!B3:G28,MATCH(1,B4:B25,0),2)</f>
        <v>699</v>
      </c>
      <c r="E4" s="61">
        <f>INDEX('5bezr. na wsi'!B3:G28,MATCH(1,B4:B25,0),3)</f>
        <v>723</v>
      </c>
      <c r="F4" s="6">
        <f>INDEX('5bezr. na wsi'!B3:G28,MATCH(1,B4:B25,0),4)</f>
        <v>-24</v>
      </c>
      <c r="G4" s="61">
        <f>INDEX('5bezr. na wsi'!B3:G28,MATCH(1,B4:B25,0),5)</f>
        <v>751</v>
      </c>
      <c r="H4" s="6">
        <f>INDEX('5bezr. na wsi'!B3:G28,MATCH(1,B4:B25,0),6)</f>
        <v>-52</v>
      </c>
    </row>
    <row r="5" spans="1:8" x14ac:dyDescent="0.2">
      <c r="A5" s="3">
        <v>2</v>
      </c>
      <c r="B5" s="6">
        <f>RANK('5bezr. na wsi'!C4,'5bezr. na wsi'!$C$3:'5bezr. na wsi'!$C$28,1)+COUNTIF('5bezr. na wsi'!$C$3:'5bezr. na wsi'!C4,'5bezr. na wsi'!C4)-1</f>
        <v>19</v>
      </c>
      <c r="C5" s="5" t="str">
        <f>INDEX('5bezr. na wsi'!B3:G28,MATCH(2,B4:B25,0),1)</f>
        <v>stalowowolski</v>
      </c>
      <c r="D5" s="6">
        <f>INDEX('5bezr. na wsi'!B3:G28,MATCH(2,B4:B25,0),2)</f>
        <v>823</v>
      </c>
      <c r="E5" s="61">
        <f>INDEX('5bezr. na wsi'!B3:G28,MATCH(2,B4:B25,0),3)</f>
        <v>812</v>
      </c>
      <c r="F5" s="6">
        <f>INDEX('5bezr. na wsi'!B3:G28,MATCH(2,B4:B25,0),4)</f>
        <v>11</v>
      </c>
      <c r="G5" s="61">
        <f>INDEX('5bezr. na wsi'!B3:G28,MATCH(2,B4:B25,0),5)</f>
        <v>840</v>
      </c>
      <c r="H5" s="6">
        <f>INDEX('5bezr. na wsi'!B3:G28,MATCH(2,B4:B25,0),6)</f>
        <v>-17</v>
      </c>
    </row>
    <row r="6" spans="1:8" x14ac:dyDescent="0.2">
      <c r="A6" s="3">
        <v>3</v>
      </c>
      <c r="B6" s="6">
        <f>RANK('5bezr. na wsi'!C5,'5bezr. na wsi'!$C$3:'5bezr. na wsi'!$C$28,1)+COUNTIF('5bezr. na wsi'!$C$3:'5bezr. na wsi'!C5,'5bezr. na wsi'!C5)-1</f>
        <v>8</v>
      </c>
      <c r="C6" s="5" t="str">
        <f>INDEX('5bezr. na wsi'!B3:G28,MATCH(3,B4:B25,0),1)</f>
        <v xml:space="preserve">tarnobrzeski </v>
      </c>
      <c r="D6" s="6">
        <f>INDEX('5bezr. na wsi'!B3:G28,MATCH(3,B4:B25,0),2)</f>
        <v>1110</v>
      </c>
      <c r="E6" s="61">
        <f>INDEX('5bezr. na wsi'!B3:G28,MATCH(3,B4:B25,0),3)</f>
        <v>1103</v>
      </c>
      <c r="F6" s="6">
        <f>INDEX('5bezr. na wsi'!B3:G28,MATCH(3,B4:B25,0),4)</f>
        <v>7</v>
      </c>
      <c r="G6" s="61">
        <f>INDEX('5bezr. na wsi'!B3:G28,MATCH(3,B4:B25,0),5)</f>
        <v>1119</v>
      </c>
      <c r="H6" s="6">
        <f>INDEX('5bezr. na wsi'!B3:G28,MATCH(3,B4:B25,0),6)</f>
        <v>-9</v>
      </c>
    </row>
    <row r="7" spans="1:8" x14ac:dyDescent="0.2">
      <c r="A7" s="3">
        <v>4</v>
      </c>
      <c r="B7" s="6">
        <f>RANK('5bezr. na wsi'!C6,'5bezr. na wsi'!$C$3:'5bezr. na wsi'!$C$28,1)+COUNTIF('5bezr. na wsi'!$C$3:'5bezr. na wsi'!C6,'5bezr. na wsi'!C6)-1</f>
        <v>16</v>
      </c>
      <c r="C7" s="5" t="str">
        <f>INDEX('5bezr. na wsi'!B3:G28,MATCH(4,B4:B25,0),1)</f>
        <v>lubaczowski</v>
      </c>
      <c r="D7" s="6">
        <f>INDEX('5bezr. na wsi'!B3:G28,MATCH(4,B4:B25,0),2)</f>
        <v>1258</v>
      </c>
      <c r="E7" s="61">
        <f>INDEX('5bezr. na wsi'!B3:G28,MATCH(4,B4:B25,0),3)</f>
        <v>1285</v>
      </c>
      <c r="F7" s="6">
        <f>INDEX('5bezr. na wsi'!B3:G28,MATCH(4,B4:B25,0),4)</f>
        <v>-27</v>
      </c>
      <c r="G7" s="61">
        <f>INDEX('5bezr. na wsi'!B3:G28,MATCH(4,B4:B25,0),5)</f>
        <v>1308</v>
      </c>
      <c r="H7" s="6">
        <f>INDEX('5bezr. na wsi'!B3:G28,MATCH(4,B4:B25,0),6)</f>
        <v>-50</v>
      </c>
    </row>
    <row r="8" spans="1:8" x14ac:dyDescent="0.2">
      <c r="A8" s="3">
        <v>5</v>
      </c>
      <c r="B8" s="6">
        <f>RANK('5bezr. na wsi'!C7,'5bezr. na wsi'!$C$3:'5bezr. na wsi'!$C$28,1)+COUNTIF('5bezr. na wsi'!$C$3:'5bezr. na wsi'!C7,'5bezr. na wsi'!C7)-1</f>
        <v>20</v>
      </c>
      <c r="C8" s="5" t="str">
        <f>INDEX('5bezr. na wsi'!B3:G28,MATCH(5,B4:B25,0),1)</f>
        <v>kolbuszowski</v>
      </c>
      <c r="D8" s="6">
        <f>INDEX('5bezr. na wsi'!B3:G28,MATCH(5,B4:B25,0),2)</f>
        <v>1410</v>
      </c>
      <c r="E8" s="61">
        <f>INDEX('5bezr. na wsi'!B3:G28,MATCH(5,B4:B25,0),3)</f>
        <v>1369</v>
      </c>
      <c r="F8" s="6">
        <f>INDEX('5bezr. na wsi'!B3:G28,MATCH(5,B4:B25,0),4)</f>
        <v>41</v>
      </c>
      <c r="G8" s="61">
        <f>INDEX('5bezr. na wsi'!B3:G28,MATCH(5,B4:B25,0),5)</f>
        <v>1504</v>
      </c>
      <c r="H8" s="6">
        <f>INDEX('5bezr. na wsi'!B3:G28,MATCH(5,B4:B25,0),6)</f>
        <v>-94</v>
      </c>
    </row>
    <row r="9" spans="1:8" x14ac:dyDescent="0.2">
      <c r="A9" s="3">
        <v>6</v>
      </c>
      <c r="B9" s="6">
        <f>RANK('5bezr. na wsi'!C8,'5bezr. na wsi'!$C$3:'5bezr. na wsi'!$C$28,1)+COUNTIF('5bezr. na wsi'!$C$3:'5bezr. na wsi'!C8,'5bezr. na wsi'!C8)-1</f>
        <v>5</v>
      </c>
      <c r="C9" s="5" t="str">
        <f>INDEX('5bezr. na wsi'!B3:G28,MATCH(6,B4:B25,0),1)</f>
        <v>leski</v>
      </c>
      <c r="D9" s="6">
        <f>INDEX('5bezr. na wsi'!B3:G28,MATCH(6,B4:B25,0),2)</f>
        <v>1505</v>
      </c>
      <c r="E9" s="61">
        <f>INDEX('5bezr. na wsi'!B3:G28,MATCH(6,B4:B25,0),3)</f>
        <v>1500</v>
      </c>
      <c r="F9" s="6">
        <f>INDEX('5bezr. na wsi'!B3:G28,MATCH(6,B4:B25,0),4)</f>
        <v>5</v>
      </c>
      <c r="G9" s="61">
        <f>INDEX('5bezr. na wsi'!B3:G28,MATCH(6,B4:B25,0),5)</f>
        <v>1493</v>
      </c>
      <c r="H9" s="6">
        <f>INDEX('5bezr. na wsi'!B3:G28,MATCH(6,B4:B25,0),6)</f>
        <v>12</v>
      </c>
    </row>
    <row r="10" spans="1:8" x14ac:dyDescent="0.2">
      <c r="A10" s="3">
        <v>7</v>
      </c>
      <c r="B10" s="6">
        <f>RANK('5bezr. na wsi'!C9,'5bezr. na wsi'!$C$3:'5bezr. na wsi'!$C$28,1)+COUNTIF('5bezr. na wsi'!$C$3:'5bezr. na wsi'!C9,'5bezr. na wsi'!C9)-1</f>
        <v>13</v>
      </c>
      <c r="C10" s="9" t="str">
        <f>INDEX('5bezr. na wsi'!B3:G28,MATCH(7,B4:B25,0),1)</f>
        <v>mielecki</v>
      </c>
      <c r="D10" s="6">
        <f>INDEX('5bezr. na wsi'!B3:G28,MATCH(7,B4:B25,0),2)</f>
        <v>1551</v>
      </c>
      <c r="E10" s="61">
        <f>INDEX('5bezr. na wsi'!B3:G28,MATCH(7,B4:B25,0),3)</f>
        <v>1542</v>
      </c>
      <c r="F10" s="6">
        <f>INDEX('5bezr. na wsi'!B3:G28,MATCH(7,B4:B25,0),4)</f>
        <v>9</v>
      </c>
      <c r="G10" s="61">
        <f>INDEX('5bezr. na wsi'!B3:G28,MATCH(7,B4:B25,0),5)</f>
        <v>1403</v>
      </c>
      <c r="H10" s="6">
        <f>INDEX('5bezr. na wsi'!B3:G28,MATCH(7,B4:B25,0),6)</f>
        <v>148</v>
      </c>
    </row>
    <row r="11" spans="1:8" x14ac:dyDescent="0.2">
      <c r="A11" s="3">
        <v>8</v>
      </c>
      <c r="B11" s="6">
        <f>RANK('5bezr. na wsi'!C10,'5bezr. na wsi'!$C$3:'5bezr. na wsi'!$C$28,1)+COUNTIF('5bezr. na wsi'!$C$3:'5bezr. na wsi'!C10,'5bezr. na wsi'!C10)-1</f>
        <v>6</v>
      </c>
      <c r="C11" s="5" t="str">
        <f>INDEX('5bezr. na wsi'!B3:G28,MATCH(8,B4:B25,0),1)</f>
        <v>dębicki</v>
      </c>
      <c r="D11" s="6">
        <f>INDEX('5bezr. na wsi'!B3:G28,MATCH(8,B4:B25,0),2)</f>
        <v>1558</v>
      </c>
      <c r="E11" s="61">
        <f>INDEX('5bezr. na wsi'!B3:G28,MATCH(8,B4:B25,0),3)</f>
        <v>1558</v>
      </c>
      <c r="F11" s="6">
        <f>INDEX('5bezr. na wsi'!B3:G28,MATCH(8,B4:B25,0),4)</f>
        <v>0</v>
      </c>
      <c r="G11" s="61">
        <f>INDEX('5bezr. na wsi'!B3:G28,MATCH(8,B4:B25,0),5)</f>
        <v>1599</v>
      </c>
      <c r="H11" s="6">
        <f>INDEX('5bezr. na wsi'!B3:G28,MATCH(8,B4:B25,0),6)</f>
        <v>-41</v>
      </c>
    </row>
    <row r="12" spans="1:8" x14ac:dyDescent="0.2">
      <c r="A12" s="3">
        <v>9</v>
      </c>
      <c r="B12" s="6">
        <f>RANK('5bezr. na wsi'!C11,'5bezr. na wsi'!$C$3:'5bezr. na wsi'!$C$28,1)+COUNTIF('5bezr. na wsi'!$C$3:'5bezr. na wsi'!C11,'5bezr. na wsi'!C11)-1</f>
        <v>14</v>
      </c>
      <c r="C12" s="5" t="str">
        <f>INDEX('5bezr. na wsi'!B3:G28,MATCH(9,B4:B25,0),1)</f>
        <v>sanocki</v>
      </c>
      <c r="D12" s="6">
        <f>INDEX('5bezr. na wsi'!B3:G28,MATCH(9,B4:B25,0),2)</f>
        <v>1723</v>
      </c>
      <c r="E12" s="61">
        <f>INDEX('5bezr. na wsi'!B3:G28,MATCH(9,B4:B25,0),3)</f>
        <v>1692</v>
      </c>
      <c r="F12" s="6">
        <f>INDEX('5bezr. na wsi'!B3:G28,MATCH(9,B4:B25,0),4)</f>
        <v>31</v>
      </c>
      <c r="G12" s="61">
        <f>INDEX('5bezr. na wsi'!B3:G28,MATCH(9,B4:B25,0),5)</f>
        <v>1635</v>
      </c>
      <c r="H12" s="6">
        <f>INDEX('5bezr. na wsi'!B3:G28,MATCH(9,B4:B25,0),6)</f>
        <v>88</v>
      </c>
    </row>
    <row r="13" spans="1:8" x14ac:dyDescent="0.2">
      <c r="A13" s="3">
        <v>10</v>
      </c>
      <c r="B13" s="6">
        <f>RANK('5bezr. na wsi'!C12,'5bezr. na wsi'!$C$3:'5bezr. na wsi'!$C$28,1)+COUNTIF('5bezr. na wsi'!$C$3:'5bezr. na wsi'!C12,'5bezr. na wsi'!C12)-1</f>
        <v>4</v>
      </c>
      <c r="C13" s="5" t="str">
        <f>INDEX('5bezr. na wsi'!B3:G28,MATCH(10,B4:B25,0),1)</f>
        <v>ropczycko-sędziszowski</v>
      </c>
      <c r="D13" s="6">
        <f>INDEX('5bezr. na wsi'!B3:G28,MATCH(10,B4:B25,0),2)</f>
        <v>1738</v>
      </c>
      <c r="E13" s="61">
        <f>INDEX('5bezr. na wsi'!B3:G28,MATCH(10,B4:B25,0),3)</f>
        <v>1756</v>
      </c>
      <c r="F13" s="6">
        <f>INDEX('5bezr. na wsi'!B3:G28,MATCH(10,B4:B25,0),4)</f>
        <v>-18</v>
      </c>
      <c r="G13" s="61">
        <f>INDEX('5bezr. na wsi'!B3:G28,MATCH(10,B4:B25,0),5)</f>
        <v>1849</v>
      </c>
      <c r="H13" s="6">
        <f>INDEX('5bezr. na wsi'!B3:G28,MATCH(10,B4:B25,0),6)</f>
        <v>-111</v>
      </c>
    </row>
    <row r="14" spans="1:8" x14ac:dyDescent="0.2">
      <c r="A14" s="3">
        <v>11</v>
      </c>
      <c r="B14" s="6">
        <f>RANK('5bezr. na wsi'!C13,'5bezr. na wsi'!$C$3:'5bezr. na wsi'!$C$28,1)+COUNTIF('5bezr. na wsi'!$C$3:'5bezr. na wsi'!C13,'5bezr. na wsi'!C13)-1</f>
        <v>12</v>
      </c>
      <c r="C14" s="5" t="str">
        <f>INDEX('5bezr. na wsi'!B3:G28,MATCH(11,B4:B25,0),1)</f>
        <v>niżański</v>
      </c>
      <c r="D14" s="6">
        <f>INDEX('5bezr. na wsi'!B3:G28,MATCH(11,B4:B25,0),2)</f>
        <v>2058</v>
      </c>
      <c r="E14" s="61">
        <f>INDEX('5bezr. na wsi'!B3:G28,MATCH(11,B4:B25,0),3)</f>
        <v>2142</v>
      </c>
      <c r="F14" s="6">
        <f>INDEX('5bezr. na wsi'!B3:G28,MATCH(11,B4:B25,0),4)</f>
        <v>-84</v>
      </c>
      <c r="G14" s="61">
        <f>INDEX('5bezr. na wsi'!B3:G28,MATCH(11,B4:B25,0),5)</f>
        <v>2120</v>
      </c>
      <c r="H14" s="6">
        <f>INDEX('5bezr. na wsi'!B3:G28,MATCH(11,B4:B25,0),6)</f>
        <v>-62</v>
      </c>
    </row>
    <row r="15" spans="1:8" x14ac:dyDescent="0.2">
      <c r="A15" s="3">
        <v>12</v>
      </c>
      <c r="B15" s="6">
        <f>RANK('5bezr. na wsi'!C14,'5bezr. na wsi'!$C$3:'5bezr. na wsi'!$C$28,1)+COUNTIF('5bezr. na wsi'!$C$3:'5bezr. na wsi'!C14,'5bezr. na wsi'!C14)-1</f>
        <v>7</v>
      </c>
      <c r="C15" s="5" t="str">
        <f>INDEX('5bezr. na wsi'!B3:G28,MATCH(12,B4:B25,0),1)</f>
        <v>łańcucki</v>
      </c>
      <c r="D15" s="6">
        <f>INDEX('5bezr. na wsi'!B3:G28,MATCH(12,B4:B25,0),2)</f>
        <v>2126</v>
      </c>
      <c r="E15" s="61">
        <f>INDEX('5bezr. na wsi'!B3:G28,MATCH(12,B4:B25,0),3)</f>
        <v>2167</v>
      </c>
      <c r="F15" s="6">
        <f>INDEX('5bezr. na wsi'!B3:G28,MATCH(12,B4:B25,0),4)</f>
        <v>-41</v>
      </c>
      <c r="G15" s="61">
        <f>INDEX('5bezr. na wsi'!B3:G28,MATCH(12,B4:B25,0),5)</f>
        <v>2199</v>
      </c>
      <c r="H15" s="6">
        <f>INDEX('5bezr. na wsi'!B3:G28,MATCH(12,B4:B25,0),6)</f>
        <v>-73</v>
      </c>
    </row>
    <row r="16" spans="1:8" x14ac:dyDescent="0.2">
      <c r="A16" s="3">
        <v>13</v>
      </c>
      <c r="B16" s="6">
        <f>RANK('5bezr. na wsi'!C15,'5bezr. na wsi'!$C$3:'5bezr. na wsi'!$C$28,1)+COUNTIF('5bezr. na wsi'!$C$3:'5bezr. na wsi'!C15,'5bezr. na wsi'!C15)-1</f>
        <v>11</v>
      </c>
      <c r="C16" s="5" t="str">
        <f>INDEX('5bezr. na wsi'!B3:G28,MATCH(13,B4:B25,0),1)</f>
        <v>krośnieński</v>
      </c>
      <c r="D16" s="6">
        <f>INDEX('5bezr. na wsi'!B3:G28,MATCH(13,B4:B25,0),2)</f>
        <v>2257</v>
      </c>
      <c r="E16" s="61">
        <f>INDEX('5bezr. na wsi'!B3:G28,MATCH(13,B4:B25,0),3)</f>
        <v>2200</v>
      </c>
      <c r="F16" s="6">
        <f>INDEX('5bezr. na wsi'!B3:G28,MATCH(13,B4:B25,0),4)</f>
        <v>57</v>
      </c>
      <c r="G16" s="61">
        <f>INDEX('5bezr. na wsi'!B3:G28,MATCH(13,B4:B25,0),5)</f>
        <v>2017</v>
      </c>
      <c r="H16" s="6">
        <f>INDEX('5bezr. na wsi'!B3:G28,MATCH(13,B4:B25,0),6)</f>
        <v>240</v>
      </c>
    </row>
    <row r="17" spans="1:8" x14ac:dyDescent="0.2">
      <c r="A17" s="3">
        <v>14</v>
      </c>
      <c r="B17" s="6">
        <f>RANK('5bezr. na wsi'!C16,'5bezr. na wsi'!$C$3:'5bezr. na wsi'!$C$28,1)+COUNTIF('5bezr. na wsi'!$C$3:'5bezr. na wsi'!C16,'5bezr. na wsi'!C16)-1</f>
        <v>18</v>
      </c>
      <c r="C17" s="5" t="str">
        <f>INDEX('5bezr. na wsi'!B3:G28,MATCH(14,B4:B25,0),1)</f>
        <v>leżajski</v>
      </c>
      <c r="D17" s="6">
        <f>INDEX('5bezr. na wsi'!B3:G28,MATCH(14,B4:B25,0),2)</f>
        <v>2509</v>
      </c>
      <c r="E17" s="61">
        <f>INDEX('5bezr. na wsi'!B3:G28,MATCH(14,B4:B25,0),3)</f>
        <v>2497</v>
      </c>
      <c r="F17" s="6">
        <f>INDEX('5bezr. na wsi'!B3:G28,MATCH(14,B4:B25,0),4)</f>
        <v>12</v>
      </c>
      <c r="G17" s="61">
        <f>INDEX('5bezr. na wsi'!B3:G28,MATCH(14,B4:B25,0),5)</f>
        <v>2524</v>
      </c>
      <c r="H17" s="6">
        <f>INDEX('5bezr. na wsi'!B3:G28,MATCH(14,B4:B25,0),6)</f>
        <v>-15</v>
      </c>
    </row>
    <row r="18" spans="1:8" x14ac:dyDescent="0.2">
      <c r="A18" s="3">
        <v>15</v>
      </c>
      <c r="B18" s="6">
        <f>RANK('5bezr. na wsi'!C17,'5bezr. na wsi'!$C$3:'5bezr. na wsi'!$C$28,1)+COUNTIF('5bezr. na wsi'!$C$3:'5bezr. na wsi'!C17,'5bezr. na wsi'!C17)-1</f>
        <v>15</v>
      </c>
      <c r="C18" s="5" t="str">
        <f>INDEX('5bezr. na wsi'!B3:G28,MATCH(15,B4:B25,0),1)</f>
        <v>przeworski</v>
      </c>
      <c r="D18" s="6">
        <f>INDEX('5bezr. na wsi'!B3:G28,MATCH(15,B4:B25,0),2)</f>
        <v>2548</v>
      </c>
      <c r="E18" s="61">
        <f>INDEX('5bezr. na wsi'!B3:G28,MATCH(15,B4:B25,0),3)</f>
        <v>2591</v>
      </c>
      <c r="F18" s="6">
        <f>INDEX('5bezr. na wsi'!B3:G28,MATCH(15,B4:B25,0),4)</f>
        <v>-43</v>
      </c>
      <c r="G18" s="61">
        <f>INDEX('5bezr. na wsi'!B3:G28,MATCH(15,B4:B25,0),5)</f>
        <v>2746</v>
      </c>
      <c r="H18" s="6">
        <f>INDEX('5bezr. na wsi'!B3:G28,MATCH(15,B4:B25,0),6)</f>
        <v>-198</v>
      </c>
    </row>
    <row r="19" spans="1:8" x14ac:dyDescent="0.2">
      <c r="A19" s="3">
        <v>16</v>
      </c>
      <c r="B19" s="6">
        <f>RANK('5bezr. na wsi'!C18,'5bezr. na wsi'!$C$3:'5bezr. na wsi'!$C$28,1)+COUNTIF('5bezr. na wsi'!$C$3:'5bezr. na wsi'!C18,'5bezr. na wsi'!C18)-1</f>
        <v>10</v>
      </c>
      <c r="C19" s="5" t="str">
        <f>INDEX('5bezr. na wsi'!B3:G28,MATCH(16,B4:B25,0),1)</f>
        <v>jarosławski</v>
      </c>
      <c r="D19" s="6">
        <f>INDEX('5bezr. na wsi'!B3:G28,MATCH(16,B4:B25,0),2)</f>
        <v>2838</v>
      </c>
      <c r="E19" s="61">
        <f>INDEX('5bezr. na wsi'!B3:G28,MATCH(16,B4:B25,0),3)</f>
        <v>2877</v>
      </c>
      <c r="F19" s="6">
        <f>INDEX('5bezr. na wsi'!B3:G28,MATCH(16,B4:B25,0),4)</f>
        <v>-39</v>
      </c>
      <c r="G19" s="61">
        <f>INDEX('5bezr. na wsi'!B3:G28,MATCH(16,B4:B25,0),5)</f>
        <v>3038</v>
      </c>
      <c r="H19" s="6">
        <f>INDEX('5bezr. na wsi'!B3:G28,MATCH(16,B4:B25,0),6)</f>
        <v>-200</v>
      </c>
    </row>
    <row r="20" spans="1:8" x14ac:dyDescent="0.2">
      <c r="A20" s="3">
        <v>17</v>
      </c>
      <c r="B20" s="6">
        <f>RANK('5bezr. na wsi'!C19,'5bezr. na wsi'!$C$3:'5bezr. na wsi'!$C$28,1)+COUNTIF('5bezr. na wsi'!$C$3:'5bezr. na wsi'!C19,'5bezr. na wsi'!C19)-1</f>
        <v>21</v>
      </c>
      <c r="C20" s="5" t="str">
        <f>INDEX('5bezr. na wsi'!B3:G28,MATCH(17,B4:B25,0),1)</f>
        <v>strzyżowski</v>
      </c>
      <c r="D20" s="6">
        <f>INDEX('5bezr. na wsi'!B3:G28,MATCH(17,B4:B25,0),2)</f>
        <v>2901</v>
      </c>
      <c r="E20" s="61">
        <f>INDEX('5bezr. na wsi'!B3:G28,MATCH(17,B4:B25,0),3)</f>
        <v>2961</v>
      </c>
      <c r="F20" s="6">
        <f>INDEX('5bezr. na wsi'!B3:G28,MATCH(17,B4:B25,0),4)</f>
        <v>-60</v>
      </c>
      <c r="G20" s="61">
        <f>INDEX('5bezr. na wsi'!B3:G28,MATCH(17,B4:B25,0),5)</f>
        <v>3050</v>
      </c>
      <c r="H20" s="6">
        <f>INDEX('5bezr. na wsi'!B3:G28,MATCH(17,B4:B25,0),6)</f>
        <v>-149</v>
      </c>
    </row>
    <row r="21" spans="1:8" x14ac:dyDescent="0.2">
      <c r="A21" s="3">
        <v>18</v>
      </c>
      <c r="B21" s="6">
        <f>RANK('5bezr. na wsi'!C20,'5bezr. na wsi'!$C$3:'5bezr. na wsi'!$C$28,1)+COUNTIF('5bezr. na wsi'!$C$3:'5bezr. na wsi'!C20,'5bezr. na wsi'!C20)-1</f>
        <v>9</v>
      </c>
      <c r="C21" s="5" t="str">
        <f>INDEX('5bezr. na wsi'!B3:G28,MATCH(18,B4:B25,0),1)</f>
        <v>przemyski</v>
      </c>
      <c r="D21" s="6">
        <f>INDEX('5bezr. na wsi'!B3:G28,MATCH(18,B4:B25,0),2)</f>
        <v>3026</v>
      </c>
      <c r="E21" s="61">
        <f>INDEX('5bezr. na wsi'!B3:G28,MATCH(18,B4:B25,0),3)</f>
        <v>3062</v>
      </c>
      <c r="F21" s="6">
        <f>INDEX('5bezr. na wsi'!B3:G28,MATCH(18,B4:B25,0),4)</f>
        <v>-36</v>
      </c>
      <c r="G21" s="61">
        <f>INDEX('5bezr. na wsi'!B3:G28,MATCH(18,B4:B25,0),5)</f>
        <v>3126</v>
      </c>
      <c r="H21" s="6">
        <f>INDEX('5bezr. na wsi'!B3:G28,MATCH(18,B4:B25,0),6)</f>
        <v>-100</v>
      </c>
    </row>
    <row r="22" spans="1:8" x14ac:dyDescent="0.2">
      <c r="A22" s="3">
        <v>19</v>
      </c>
      <c r="B22" s="6">
        <f>RANK('5bezr. na wsi'!C21,'5bezr. na wsi'!$C$3:'5bezr. na wsi'!$C$28,1)+COUNTIF('5bezr. na wsi'!$C$3:'5bezr. na wsi'!C21,'5bezr. na wsi'!C21)-1</f>
        <v>2</v>
      </c>
      <c r="C22" s="5" t="str">
        <f>INDEX('5bezr. na wsi'!B3:G28,MATCH(19,B4:B25,0),1)</f>
        <v>brzozowski</v>
      </c>
      <c r="D22" s="6">
        <f>INDEX('5bezr. na wsi'!B3:G28,MATCH(19,B4:B25,0),2)</f>
        <v>3637</v>
      </c>
      <c r="E22" s="61">
        <f>INDEX('5bezr. na wsi'!B3:G28,MATCH(19,B4:B25,0),3)</f>
        <v>3657</v>
      </c>
      <c r="F22" s="6">
        <f>INDEX('5bezr. na wsi'!B3:G28,MATCH(19,B4:B25,0),4)</f>
        <v>-20</v>
      </c>
      <c r="G22" s="61">
        <f>INDEX('5bezr. na wsi'!B3:G28,MATCH(19,B4:B25,0),5)</f>
        <v>3792</v>
      </c>
      <c r="H22" s="6">
        <f>INDEX('5bezr. na wsi'!B3:G28,MATCH(19,B4:B25,0),6)</f>
        <v>-155</v>
      </c>
    </row>
    <row r="23" spans="1:8" x14ac:dyDescent="0.2">
      <c r="A23" s="3">
        <v>20</v>
      </c>
      <c r="B23" s="6">
        <f>RANK('5bezr. na wsi'!C22,'5bezr. na wsi'!$C$3:'5bezr. na wsi'!$C$28,1)+COUNTIF('5bezr. na wsi'!$C$3:'5bezr. na wsi'!C22,'5bezr. na wsi'!C22)-1</f>
        <v>17</v>
      </c>
      <c r="C23" s="5" t="str">
        <f>INDEX('5bezr. na wsi'!B3:G28,MATCH(20,B4:B25,0),1)</f>
        <v>jasielski</v>
      </c>
      <c r="D23" s="6">
        <f>INDEX('5bezr. na wsi'!B3:G28,MATCH(20,B4:B25,0),2)</f>
        <v>3745</v>
      </c>
      <c r="E23" s="61">
        <f>INDEX('5bezr. na wsi'!B3:G28,MATCH(20,B4:B25,0),3)</f>
        <v>3845</v>
      </c>
      <c r="F23" s="6">
        <f>INDEX('5bezr. na wsi'!B3:G28,MATCH(20,B4:B25,0),4)</f>
        <v>-100</v>
      </c>
      <c r="G23" s="61">
        <f>INDEX('5bezr. na wsi'!B3:G28,MATCH(20,B4:B25,0),5)</f>
        <v>3664</v>
      </c>
      <c r="H23" s="6">
        <f>INDEX('5bezr. na wsi'!B3:G28,MATCH(20,B4:B25,0),6)</f>
        <v>81</v>
      </c>
    </row>
    <row r="24" spans="1:8" x14ac:dyDescent="0.2">
      <c r="A24" s="3">
        <v>21</v>
      </c>
      <c r="B24" s="6">
        <f>RANK('5bezr. na wsi'!C23,'5bezr. na wsi'!$C$3:'5bezr. na wsi'!$C$28,1)+COUNTIF('5bezr. na wsi'!$C$3:'5bezr. na wsi'!C23,'5bezr. na wsi'!C23)-1</f>
        <v>3</v>
      </c>
      <c r="C24" s="5" t="str">
        <f>INDEX('5bezr. na wsi'!B3:G28,MATCH(21,B4:B25,0),1)</f>
        <v>rzeszowski</v>
      </c>
      <c r="D24" s="6">
        <f>INDEX('5bezr. na wsi'!B3:G28,MATCH(21,B4:B25,0),2)</f>
        <v>3785</v>
      </c>
      <c r="E24" s="61">
        <f>INDEX('5bezr. na wsi'!B3:G28,MATCH(21,B4:B25,0),3)</f>
        <v>3765</v>
      </c>
      <c r="F24" s="6">
        <f>INDEX('5bezr. na wsi'!B3:G28,MATCH(21,B4:B25,0),4)</f>
        <v>20</v>
      </c>
      <c r="G24" s="61">
        <f>INDEX('5bezr. na wsi'!B3:G28,MATCH(21,B4:B25,0),5)</f>
        <v>4049</v>
      </c>
      <c r="H24" s="6">
        <f>INDEX('5bezr. na wsi'!B3:G28,MATCH(21,B4:B25,0),6)</f>
        <v>-264</v>
      </c>
    </row>
    <row r="25" spans="1:8" ht="15" x14ac:dyDescent="0.25">
      <c r="A25" s="3">
        <v>22</v>
      </c>
      <c r="B25" s="59">
        <f>RANK('5bezr. na wsi'!C24,'5bezr. na wsi'!$C$3:'5bezr. na wsi'!$C$28,1)+COUNTIF('5bezr. na wsi'!$C$3:'5bezr. na wsi'!C24,'5bezr. na wsi'!C24)-1</f>
        <v>22</v>
      </c>
      <c r="C25" s="76" t="str">
        <f>INDEX('5bezr. na wsi'!B3:G28,MATCH(22,B4:B25,0),1)</f>
        <v>województwo</v>
      </c>
      <c r="D25" s="59">
        <f>INDEX('5bezr. na wsi'!B3:G28,MATCH(22,B4:B25,0),2)</f>
        <v>44805</v>
      </c>
      <c r="E25" s="63">
        <f>INDEX('5bezr. na wsi'!B3:G28,MATCH(22,B4:B25,0),3)</f>
        <v>45104</v>
      </c>
      <c r="F25" s="59">
        <f>INDEX('5bezr. na wsi'!B3:G28,MATCH(22,B4:B25,0),4)</f>
        <v>-299</v>
      </c>
      <c r="G25" s="63">
        <f>INDEX('5bezr. na wsi'!B3:G28,MATCH(22,B4:B25,0),5)</f>
        <v>45826</v>
      </c>
      <c r="H25" s="59">
        <f>INDEX('5bezr. na wsi'!B3:G28,MATCH(22,B4:B25,0),6)</f>
        <v>-1021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18.7109375" style="3" customWidth="1"/>
    <col min="5" max="5" width="17.5703125" style="3" customWidth="1"/>
    <col min="6" max="6" width="19.28515625" style="3" customWidth="1"/>
    <col min="7" max="7" width="17.28515625" style="3" customWidth="1"/>
    <col min="8" max="8" width="9.140625" style="3"/>
    <col min="9" max="13" width="0" style="3" hidden="1" customWidth="1"/>
    <col min="14" max="16384" width="9.140625" style="3"/>
  </cols>
  <sheetData>
    <row r="1" spans="2:8" ht="19.5" customHeight="1" x14ac:dyDescent="0.2">
      <c r="B1" s="1" t="s">
        <v>78</v>
      </c>
      <c r="C1" s="42"/>
      <c r="D1" s="42"/>
      <c r="E1" s="42"/>
      <c r="F1" s="42"/>
      <c r="G1" s="42"/>
    </row>
    <row r="2" spans="2:8" ht="58.5" x14ac:dyDescent="0.2">
      <c r="B2" s="55" t="s">
        <v>27</v>
      </c>
      <c r="C2" s="56" t="s">
        <v>152</v>
      </c>
      <c r="D2" s="57" t="s">
        <v>151</v>
      </c>
      <c r="E2" s="56" t="s">
        <v>28</v>
      </c>
      <c r="F2" s="57" t="s">
        <v>153</v>
      </c>
      <c r="G2" s="56" t="s">
        <v>26</v>
      </c>
    </row>
    <row r="3" spans="2:8" x14ac:dyDescent="0.2">
      <c r="B3" s="5" t="s">
        <v>0</v>
      </c>
      <c r="C3" s="6">
        <v>615</v>
      </c>
      <c r="D3" s="61">
        <v>634</v>
      </c>
      <c r="E3" s="6">
        <f t="shared" ref="E3:E26" si="0">SUM(C3)-D3</f>
        <v>-19</v>
      </c>
      <c r="F3" s="61">
        <v>661</v>
      </c>
      <c r="G3" s="6">
        <f t="shared" ref="G3:G27" si="1">SUM(C3)-F3</f>
        <v>-46</v>
      </c>
      <c r="H3" s="7"/>
    </row>
    <row r="4" spans="2:8" x14ac:dyDescent="0.2">
      <c r="B4" s="5" t="s">
        <v>1</v>
      </c>
      <c r="C4" s="6">
        <v>2514</v>
      </c>
      <c r="D4" s="61">
        <v>2520</v>
      </c>
      <c r="E4" s="6">
        <f t="shared" si="0"/>
        <v>-6</v>
      </c>
      <c r="F4" s="61">
        <v>2642</v>
      </c>
      <c r="G4" s="6">
        <f t="shared" si="1"/>
        <v>-128</v>
      </c>
      <c r="H4" s="7"/>
    </row>
    <row r="5" spans="2:8" x14ac:dyDescent="0.2">
      <c r="B5" s="5" t="s">
        <v>2</v>
      </c>
      <c r="C5" s="6">
        <v>1003</v>
      </c>
      <c r="D5" s="61">
        <v>1005</v>
      </c>
      <c r="E5" s="6">
        <f t="shared" si="0"/>
        <v>-2</v>
      </c>
      <c r="F5" s="61">
        <v>1051</v>
      </c>
      <c r="G5" s="6">
        <f t="shared" si="1"/>
        <v>-48</v>
      </c>
      <c r="H5" s="7"/>
    </row>
    <row r="6" spans="2:8" x14ac:dyDescent="0.2">
      <c r="B6" s="5" t="s">
        <v>3</v>
      </c>
      <c r="C6" s="6">
        <v>2533</v>
      </c>
      <c r="D6" s="61">
        <v>2516</v>
      </c>
      <c r="E6" s="6">
        <f t="shared" si="0"/>
        <v>17</v>
      </c>
      <c r="F6" s="61">
        <v>2825</v>
      </c>
      <c r="G6" s="6">
        <f t="shared" si="1"/>
        <v>-292</v>
      </c>
      <c r="H6" s="7"/>
    </row>
    <row r="7" spans="2:8" x14ac:dyDescent="0.2">
      <c r="B7" s="5" t="s">
        <v>4</v>
      </c>
      <c r="C7" s="6">
        <v>3131</v>
      </c>
      <c r="D7" s="61">
        <v>3175</v>
      </c>
      <c r="E7" s="6">
        <f t="shared" si="0"/>
        <v>-44</v>
      </c>
      <c r="F7" s="61">
        <v>3100</v>
      </c>
      <c r="G7" s="6">
        <f t="shared" si="1"/>
        <v>31</v>
      </c>
      <c r="H7" s="7"/>
    </row>
    <row r="8" spans="2:8" x14ac:dyDescent="0.2">
      <c r="B8" s="5" t="s">
        <v>5</v>
      </c>
      <c r="C8" s="6">
        <v>770</v>
      </c>
      <c r="D8" s="61">
        <v>758</v>
      </c>
      <c r="E8" s="6">
        <f t="shared" si="0"/>
        <v>12</v>
      </c>
      <c r="F8" s="61">
        <v>833</v>
      </c>
      <c r="G8" s="6">
        <f t="shared" si="1"/>
        <v>-63</v>
      </c>
      <c r="H8" s="7"/>
    </row>
    <row r="9" spans="2:8" x14ac:dyDescent="0.2">
      <c r="B9" s="9" t="s">
        <v>6</v>
      </c>
      <c r="C9" s="6">
        <v>1030</v>
      </c>
      <c r="D9" s="61">
        <v>1005</v>
      </c>
      <c r="E9" s="6">
        <f t="shared" si="0"/>
        <v>25</v>
      </c>
      <c r="F9" s="61">
        <v>988</v>
      </c>
      <c r="G9" s="6">
        <f t="shared" si="1"/>
        <v>42</v>
      </c>
      <c r="H9" s="7"/>
    </row>
    <row r="10" spans="2:8" x14ac:dyDescent="0.2">
      <c r="B10" s="5" t="s">
        <v>7</v>
      </c>
      <c r="C10" s="6">
        <v>1094</v>
      </c>
      <c r="D10" s="61">
        <v>1102</v>
      </c>
      <c r="E10" s="6">
        <f t="shared" si="0"/>
        <v>-8</v>
      </c>
      <c r="F10" s="61">
        <v>1106</v>
      </c>
      <c r="G10" s="6">
        <f t="shared" si="1"/>
        <v>-12</v>
      </c>
      <c r="H10" s="7"/>
    </row>
    <row r="11" spans="2:8" x14ac:dyDescent="0.2">
      <c r="B11" s="5" t="s">
        <v>8</v>
      </c>
      <c r="C11" s="6">
        <v>1797</v>
      </c>
      <c r="D11" s="61">
        <v>1803</v>
      </c>
      <c r="E11" s="6">
        <f t="shared" si="0"/>
        <v>-6</v>
      </c>
      <c r="F11" s="61">
        <v>1979</v>
      </c>
      <c r="G11" s="6">
        <f t="shared" si="1"/>
        <v>-182</v>
      </c>
      <c r="H11" s="7"/>
    </row>
    <row r="12" spans="2:8" x14ac:dyDescent="0.2">
      <c r="B12" s="5" t="s">
        <v>9</v>
      </c>
      <c r="C12" s="6">
        <v>959</v>
      </c>
      <c r="D12" s="61">
        <v>957</v>
      </c>
      <c r="E12" s="6">
        <f t="shared" si="0"/>
        <v>2</v>
      </c>
      <c r="F12" s="61">
        <v>1004</v>
      </c>
      <c r="G12" s="6">
        <f t="shared" si="1"/>
        <v>-45</v>
      </c>
      <c r="H12" s="7"/>
    </row>
    <row r="13" spans="2:8" x14ac:dyDescent="0.2">
      <c r="B13" s="5" t="s">
        <v>10</v>
      </c>
      <c r="C13" s="6">
        <v>1296</v>
      </c>
      <c r="D13" s="61">
        <v>1301</v>
      </c>
      <c r="E13" s="6">
        <f t="shared" si="0"/>
        <v>-5</v>
      </c>
      <c r="F13" s="61">
        <v>1424</v>
      </c>
      <c r="G13" s="6">
        <f t="shared" si="1"/>
        <v>-128</v>
      </c>
      <c r="H13" s="7"/>
    </row>
    <row r="14" spans="2:8" x14ac:dyDescent="0.2">
      <c r="B14" s="5" t="s">
        <v>11</v>
      </c>
      <c r="C14" s="6">
        <v>1355</v>
      </c>
      <c r="D14" s="61">
        <v>1358</v>
      </c>
      <c r="E14" s="6">
        <f t="shared" si="0"/>
        <v>-3</v>
      </c>
      <c r="F14" s="61">
        <v>1242</v>
      </c>
      <c r="G14" s="6">
        <f t="shared" si="1"/>
        <v>113</v>
      </c>
      <c r="H14" s="7"/>
    </row>
    <row r="15" spans="2:8" x14ac:dyDescent="0.2">
      <c r="B15" s="5" t="s">
        <v>12</v>
      </c>
      <c r="C15" s="6">
        <v>1709</v>
      </c>
      <c r="D15" s="61">
        <v>1753</v>
      </c>
      <c r="E15" s="6">
        <f t="shared" si="0"/>
        <v>-44</v>
      </c>
      <c r="F15" s="61">
        <v>1820</v>
      </c>
      <c r="G15" s="6">
        <f t="shared" si="1"/>
        <v>-111</v>
      </c>
      <c r="H15" s="7"/>
    </row>
    <row r="16" spans="2:8" x14ac:dyDescent="0.2">
      <c r="B16" s="5" t="s">
        <v>13</v>
      </c>
      <c r="C16" s="6">
        <v>1758</v>
      </c>
      <c r="D16" s="61">
        <v>1780</v>
      </c>
      <c r="E16" s="6">
        <f t="shared" si="0"/>
        <v>-22</v>
      </c>
      <c r="F16" s="61">
        <v>1926</v>
      </c>
      <c r="G16" s="6">
        <f t="shared" si="1"/>
        <v>-168</v>
      </c>
      <c r="H16" s="7"/>
    </row>
    <row r="17" spans="2:8" x14ac:dyDescent="0.2">
      <c r="B17" s="5" t="s">
        <v>14</v>
      </c>
      <c r="C17" s="6">
        <v>1990</v>
      </c>
      <c r="D17" s="61">
        <v>2016</v>
      </c>
      <c r="E17" s="6">
        <f t="shared" si="0"/>
        <v>-26</v>
      </c>
      <c r="F17" s="61">
        <v>2207</v>
      </c>
      <c r="G17" s="6">
        <f t="shared" si="1"/>
        <v>-217</v>
      </c>
      <c r="H17" s="7"/>
    </row>
    <row r="18" spans="2:8" x14ac:dyDescent="0.2">
      <c r="B18" s="5" t="s">
        <v>15</v>
      </c>
      <c r="C18" s="6">
        <v>1349</v>
      </c>
      <c r="D18" s="61">
        <v>1352</v>
      </c>
      <c r="E18" s="6">
        <f t="shared" si="0"/>
        <v>-3</v>
      </c>
      <c r="F18" s="61">
        <v>1536</v>
      </c>
      <c r="G18" s="6">
        <f t="shared" si="1"/>
        <v>-187</v>
      </c>
      <c r="H18" s="7"/>
    </row>
    <row r="19" spans="2:8" x14ac:dyDescent="0.2">
      <c r="B19" s="5" t="s">
        <v>16</v>
      </c>
      <c r="C19" s="6">
        <v>2617</v>
      </c>
      <c r="D19" s="61">
        <v>2613</v>
      </c>
      <c r="E19" s="6">
        <f t="shared" si="0"/>
        <v>4</v>
      </c>
      <c r="F19" s="61">
        <v>2954</v>
      </c>
      <c r="G19" s="6">
        <f t="shared" si="1"/>
        <v>-337</v>
      </c>
      <c r="H19" s="7"/>
    </row>
    <row r="20" spans="2:8" x14ac:dyDescent="0.2">
      <c r="B20" s="5" t="s">
        <v>17</v>
      </c>
      <c r="C20" s="6">
        <v>1443</v>
      </c>
      <c r="D20" s="61">
        <v>1428</v>
      </c>
      <c r="E20" s="6">
        <f t="shared" si="0"/>
        <v>15</v>
      </c>
      <c r="F20" s="61">
        <v>1366</v>
      </c>
      <c r="G20" s="6">
        <f t="shared" si="1"/>
        <v>77</v>
      </c>
      <c r="H20" s="7"/>
    </row>
    <row r="21" spans="2:8" x14ac:dyDescent="0.2">
      <c r="B21" s="5" t="s">
        <v>18</v>
      </c>
      <c r="C21" s="6">
        <v>813</v>
      </c>
      <c r="D21" s="61">
        <v>819</v>
      </c>
      <c r="E21" s="6">
        <f t="shared" si="0"/>
        <v>-6</v>
      </c>
      <c r="F21" s="61">
        <v>822</v>
      </c>
      <c r="G21" s="6">
        <f t="shared" si="1"/>
        <v>-9</v>
      </c>
      <c r="H21" s="7"/>
    </row>
    <row r="22" spans="2:8" x14ac:dyDescent="0.2">
      <c r="B22" s="5" t="s">
        <v>19</v>
      </c>
      <c r="C22" s="6">
        <v>1958</v>
      </c>
      <c r="D22" s="61">
        <v>1976</v>
      </c>
      <c r="E22" s="6">
        <f t="shared" si="0"/>
        <v>-18</v>
      </c>
      <c r="F22" s="61">
        <v>2087</v>
      </c>
      <c r="G22" s="6">
        <f t="shared" si="1"/>
        <v>-129</v>
      </c>
      <c r="H22" s="7"/>
    </row>
    <row r="23" spans="2:8" x14ac:dyDescent="0.2">
      <c r="B23" s="5" t="s">
        <v>20</v>
      </c>
      <c r="C23" s="6">
        <v>648</v>
      </c>
      <c r="D23" s="61">
        <v>624</v>
      </c>
      <c r="E23" s="6">
        <f t="shared" si="0"/>
        <v>24</v>
      </c>
      <c r="F23" s="61">
        <v>705</v>
      </c>
      <c r="G23" s="6">
        <f t="shared" si="1"/>
        <v>-57</v>
      </c>
      <c r="H23" s="7"/>
    </row>
    <row r="24" spans="2:8" x14ac:dyDescent="0.2">
      <c r="B24" s="5" t="s">
        <v>21</v>
      </c>
      <c r="C24" s="6">
        <v>334</v>
      </c>
      <c r="D24" s="61">
        <v>326</v>
      </c>
      <c r="E24" s="6">
        <f t="shared" si="0"/>
        <v>8</v>
      </c>
      <c r="F24" s="61">
        <v>330</v>
      </c>
      <c r="G24" s="6">
        <f t="shared" si="1"/>
        <v>4</v>
      </c>
      <c r="H24" s="7"/>
    </row>
    <row r="25" spans="2:8" x14ac:dyDescent="0.2">
      <c r="B25" s="5" t="s">
        <v>22</v>
      </c>
      <c r="C25" s="43">
        <v>1569</v>
      </c>
      <c r="D25" s="61">
        <v>1575</v>
      </c>
      <c r="E25" s="43">
        <f t="shared" si="0"/>
        <v>-6</v>
      </c>
      <c r="F25" s="61">
        <v>1632</v>
      </c>
      <c r="G25" s="6">
        <f t="shared" si="1"/>
        <v>-63</v>
      </c>
      <c r="H25" s="7"/>
    </row>
    <row r="26" spans="2:8" x14ac:dyDescent="0.2">
      <c r="B26" s="5" t="s">
        <v>23</v>
      </c>
      <c r="C26" s="43">
        <v>3076</v>
      </c>
      <c r="D26" s="61">
        <v>3092</v>
      </c>
      <c r="E26" s="43">
        <f t="shared" si="0"/>
        <v>-16</v>
      </c>
      <c r="F26" s="61">
        <v>3369</v>
      </c>
      <c r="G26" s="6">
        <f t="shared" si="1"/>
        <v>-293</v>
      </c>
      <c r="H26" s="7"/>
    </row>
    <row r="27" spans="2:8" x14ac:dyDescent="0.2">
      <c r="B27" s="5" t="s">
        <v>24</v>
      </c>
      <c r="C27" s="43">
        <v>577</v>
      </c>
      <c r="D27" s="61">
        <v>571</v>
      </c>
      <c r="E27" s="43">
        <f>SUM(C27)-D27</f>
        <v>6</v>
      </c>
      <c r="F27" s="61">
        <v>615</v>
      </c>
      <c r="G27" s="6">
        <f t="shared" si="1"/>
        <v>-38</v>
      </c>
      <c r="H27" s="7"/>
    </row>
    <row r="28" spans="2:8" ht="15" x14ac:dyDescent="0.25">
      <c r="B28" s="58" t="s">
        <v>25</v>
      </c>
      <c r="C28" s="59">
        <f>SUM(C3:C27)</f>
        <v>37938</v>
      </c>
      <c r="D28" s="60">
        <f>SUM(D3:D27)</f>
        <v>38059</v>
      </c>
      <c r="E28" s="59">
        <f>SUM(E3:E27)</f>
        <v>-121</v>
      </c>
      <c r="F28" s="60">
        <f>SUM(F3:F27)</f>
        <v>40224</v>
      </c>
      <c r="G28" s="59">
        <f>SUM(G3:G27)</f>
        <v>-2286</v>
      </c>
      <c r="H28" s="7"/>
    </row>
    <row r="29" spans="2:8" ht="15" x14ac:dyDescent="0.25">
      <c r="B29" s="3" t="s">
        <v>95</v>
      </c>
      <c r="E29" s="19"/>
      <c r="F29" s="7"/>
      <c r="G29" s="7"/>
    </row>
    <row r="30" spans="2:8" x14ac:dyDescent="0.2">
      <c r="B30" s="3" t="s">
        <v>96</v>
      </c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89</v>
      </c>
    </row>
    <row r="2" spans="2:8" ht="15" x14ac:dyDescent="0.2">
      <c r="C2" s="20"/>
      <c r="D2" s="21"/>
    </row>
    <row r="3" spans="2:8" ht="71.25" x14ac:dyDescent="0.2">
      <c r="B3" s="62" t="s">
        <v>86</v>
      </c>
      <c r="C3" s="55" t="str">
        <f>T('6długot.'!B2)</f>
        <v>powiaty</v>
      </c>
      <c r="D3" s="55" t="str">
        <f>T('6długot.'!C2)</f>
        <v>liczba bezrobotnych pow. 12 m-cy stan na 29-02-'24 r.</v>
      </c>
      <c r="E3" s="55" t="str">
        <f>T('6długot.'!D2)</f>
        <v>liczba bezrobotnych pow. 12 m-cy stan na 31-01-'24 r.</v>
      </c>
      <c r="F3" s="55" t="str">
        <f>T('6długot.'!E2)</f>
        <v>wzrost/spadek do poprzedniego  miesiąca</v>
      </c>
      <c r="G3" s="55" t="str">
        <f>T('6długot.'!F2)</f>
        <v>liczba bezrobotnych pow. 12 m-cy,  stan na 28-02-'23 r.</v>
      </c>
      <c r="H3" s="55" t="str">
        <f>T('6długot.'!G2)</f>
        <v>wzrost/spadek do analogicznego okresu ubr.</v>
      </c>
    </row>
    <row r="4" spans="2:8" x14ac:dyDescent="0.2">
      <c r="B4" s="6">
        <f>RANK('6długot.'!C3,'6długot.'!$C$3:'6długot.'!$C$28,1)+COUNTIF('6długot.'!$C$3:'6długot.'!C3,'6długot.'!C3)-1</f>
        <v>3</v>
      </c>
      <c r="C4" s="5" t="str">
        <f>INDEX('6długot.'!B3:G28,MATCH(1,B4:B29,0),1)</f>
        <v>Krosno</v>
      </c>
      <c r="D4" s="25">
        <f>INDEX('6długot.'!B3:G28,MATCH(1,B4:B29,0),2)</f>
        <v>334</v>
      </c>
      <c r="E4" s="61">
        <f>INDEX('6długot.'!B3:G28,MATCH(1,B4:B29,0),3)</f>
        <v>326</v>
      </c>
      <c r="F4" s="6">
        <f>INDEX('6długot.'!B3:G28,MATCH(1,B4:B29,0),4)</f>
        <v>8</v>
      </c>
      <c r="G4" s="61">
        <f>INDEX('6długot.'!B3:G28,MATCH(1,B4:B29,0),5)</f>
        <v>330</v>
      </c>
      <c r="H4" s="6">
        <f>INDEX('6długot.'!B3:G28,MATCH(1,B4:B29,0),6)</f>
        <v>4</v>
      </c>
    </row>
    <row r="5" spans="2:8" x14ac:dyDescent="0.2">
      <c r="B5" s="6">
        <f>RANK('6długot.'!C4,'6długot.'!$C$3:'6długot.'!$C$28,1)+COUNTIF('6długot.'!$C$3:'6długot.'!C4,'6długot.'!C4)-1</f>
        <v>21</v>
      </c>
      <c r="C5" s="5" t="str">
        <f>INDEX('6długot.'!B3:G28,MATCH(2,B4:B29,0),1)</f>
        <v>Tarnobrzeg</v>
      </c>
      <c r="D5" s="6">
        <f>INDEX('6długot.'!B3:G28,MATCH(2,B4:B29,0),2)</f>
        <v>577</v>
      </c>
      <c r="E5" s="61">
        <f>INDEX('6długot.'!B3:G28,MATCH(2,B4:B29,0),3)</f>
        <v>571</v>
      </c>
      <c r="F5" s="6">
        <f>INDEX('6długot.'!B3:G28,MATCH(2,B4:B29,0),4)</f>
        <v>6</v>
      </c>
      <c r="G5" s="61">
        <f>INDEX('6długot.'!B3:G28,MATCH(2,B4:B29,0),5)</f>
        <v>615</v>
      </c>
      <c r="H5" s="6">
        <f>INDEX('6długot.'!B3:G28,MATCH(2,B4:B29,0),6)</f>
        <v>-38</v>
      </c>
    </row>
    <row r="6" spans="2:8" x14ac:dyDescent="0.2">
      <c r="B6" s="6">
        <f>RANK('6długot.'!C5,'6długot.'!$C$3:'6długot.'!$C$28,1)+COUNTIF('6długot.'!$C$3:'6długot.'!C5,'6długot.'!C5)-1</f>
        <v>8</v>
      </c>
      <c r="C6" s="5" t="str">
        <f>INDEX('6długot.'!B3:G28,MATCH(3,B4:B29,0),1)</f>
        <v>bieszczadzki</v>
      </c>
      <c r="D6" s="6">
        <f>INDEX('6długot.'!B3:G28,MATCH(3,B4:B29,0),2)</f>
        <v>615</v>
      </c>
      <c r="E6" s="61">
        <f>INDEX('6długot.'!B3:G28,MATCH(3,B4:B29,0),3)</f>
        <v>634</v>
      </c>
      <c r="F6" s="6">
        <f>INDEX('6długot.'!B3:G28,MATCH(3,B4:B29,0),4)</f>
        <v>-19</v>
      </c>
      <c r="G6" s="61">
        <f>INDEX('6długot.'!B3:G28,MATCH(3,B4:B29,0),5)</f>
        <v>661</v>
      </c>
      <c r="H6" s="6">
        <f>INDEX('6długot.'!B3:G28,MATCH(3,B4:B29,0),6)</f>
        <v>-46</v>
      </c>
    </row>
    <row r="7" spans="2:8" x14ac:dyDescent="0.2">
      <c r="B7" s="6">
        <f>RANK('6długot.'!C6,'6długot.'!$C$3:'6długot.'!$C$28,1)+COUNTIF('6długot.'!$C$3:'6długot.'!C6,'6długot.'!C6)-1</f>
        <v>22</v>
      </c>
      <c r="C7" s="5" t="str">
        <f>INDEX('6długot.'!B3:G28,MATCH(4,B4:B29,0),1)</f>
        <v xml:space="preserve">tarnobrzeski </v>
      </c>
      <c r="D7" s="6">
        <f>INDEX('6długot.'!B3:G28,MATCH(4,B4:B29,0),2)</f>
        <v>648</v>
      </c>
      <c r="E7" s="61">
        <f>INDEX('6długot.'!B3:G28,MATCH(4,B4:B29,0),3)</f>
        <v>624</v>
      </c>
      <c r="F7" s="6">
        <f>INDEX('6długot.'!B3:G28,MATCH(4,B4:B29,0),4)</f>
        <v>24</v>
      </c>
      <c r="G7" s="61">
        <f>INDEX('6długot.'!B3:G28,MATCH(4,B4:B29,0),5)</f>
        <v>705</v>
      </c>
      <c r="H7" s="6">
        <f>INDEX('6długot.'!B3:G28,MATCH(4,B4:B29,0),6)</f>
        <v>-57</v>
      </c>
    </row>
    <row r="8" spans="2:8" x14ac:dyDescent="0.2">
      <c r="B8" s="6">
        <f>RANK('6długot.'!C7,'6długot.'!$C$3:'6długot.'!$C$28,1)+COUNTIF('6długot.'!$C$3:'6długot.'!C7,'6długot.'!C7)-1</f>
        <v>25</v>
      </c>
      <c r="C8" s="5" t="str">
        <f>INDEX('6długot.'!B3:G28,MATCH(5,B4:B29,0),1)</f>
        <v>kolbuszowski</v>
      </c>
      <c r="D8" s="6">
        <f>INDEX('6długot.'!B3:G28,MATCH(5,B4:B29,0),2)</f>
        <v>770</v>
      </c>
      <c r="E8" s="61">
        <f>INDEX('6długot.'!B3:G28,MATCH(5,B4:B29,0),3)</f>
        <v>758</v>
      </c>
      <c r="F8" s="6">
        <f>INDEX('6długot.'!B3:G28,MATCH(5,B4:B29,0),4)</f>
        <v>12</v>
      </c>
      <c r="G8" s="61">
        <f>INDEX('6długot.'!B3:G28,MATCH(5,B4:B29,0),5)</f>
        <v>833</v>
      </c>
      <c r="H8" s="6">
        <f>INDEX('6długot.'!B3:G28,MATCH(5,B4:B29,0),6)</f>
        <v>-63</v>
      </c>
    </row>
    <row r="9" spans="2:8" x14ac:dyDescent="0.2">
      <c r="B9" s="6">
        <f>RANK('6długot.'!C8,'6długot.'!$C$3:'6długot.'!$C$28,1)+COUNTIF('6długot.'!$C$3:'6długot.'!C8,'6długot.'!C8)-1</f>
        <v>5</v>
      </c>
      <c r="C9" s="5" t="str">
        <f>INDEX('6długot.'!B3:G28,MATCH(6,B4:B29,0),1)</f>
        <v>stalowowolski</v>
      </c>
      <c r="D9" s="6">
        <f>INDEX('6długot.'!B3:G28,MATCH(6,B4:B29,0),2)</f>
        <v>813</v>
      </c>
      <c r="E9" s="61">
        <f>INDEX('6długot.'!B3:G28,MATCH(6,B4:B29,0),3)</f>
        <v>819</v>
      </c>
      <c r="F9" s="6">
        <f>INDEX('6długot.'!B3:G28,MATCH(6,B4:B29,0),4)</f>
        <v>-6</v>
      </c>
      <c r="G9" s="61">
        <f>INDEX('6długot.'!B3:G28,MATCH(6,B4:B29,0),5)</f>
        <v>822</v>
      </c>
      <c r="H9" s="6">
        <f>INDEX('6długot.'!B3:G28,MATCH(6,B4:B29,0),6)</f>
        <v>-9</v>
      </c>
    </row>
    <row r="10" spans="2:8" x14ac:dyDescent="0.2">
      <c r="B10" s="6">
        <f>RANK('6długot.'!C9,'6długot.'!$C$3:'6długot.'!$C$28,1)+COUNTIF('6długot.'!$C$3:'6długot.'!C9,'6długot.'!C9)-1</f>
        <v>9</v>
      </c>
      <c r="C10" s="9" t="str">
        <f>INDEX('6długot.'!B3:G28,MATCH(7,B4:B29,0),1)</f>
        <v>lubaczowski</v>
      </c>
      <c r="D10" s="6">
        <f>INDEX('6długot.'!B3:G28,MATCH(7,B4:B29,0),2)</f>
        <v>959</v>
      </c>
      <c r="E10" s="61">
        <f>INDEX('6długot.'!B3:G28,MATCH(7,B4:B29,0),3)</f>
        <v>957</v>
      </c>
      <c r="F10" s="6">
        <f>INDEX('6długot.'!B3:G28,MATCH(7,B4:B29,0),4)</f>
        <v>2</v>
      </c>
      <c r="G10" s="61">
        <f>INDEX('6długot.'!B3:G28,MATCH(7,B4:B29,0),5)</f>
        <v>1004</v>
      </c>
      <c r="H10" s="6">
        <f>INDEX('6długot.'!B3:G28,MATCH(7,B4:B29,0),6)</f>
        <v>-45</v>
      </c>
    </row>
    <row r="11" spans="2:8" x14ac:dyDescent="0.2">
      <c r="B11" s="6">
        <f>RANK('6długot.'!C10,'6długot.'!$C$3:'6długot.'!$C$28,1)+COUNTIF('6długot.'!$C$3:'6długot.'!C10,'6długot.'!C10)-1</f>
        <v>10</v>
      </c>
      <c r="C11" s="5" t="str">
        <f>INDEX('6długot.'!B3:G28,MATCH(8,B4:B29,0),1)</f>
        <v>dębicki</v>
      </c>
      <c r="D11" s="6">
        <f>INDEX('6długot.'!B3:G28,MATCH(8,B4:B29,0),2)</f>
        <v>1003</v>
      </c>
      <c r="E11" s="61">
        <f>INDEX('6długot.'!B3:G28,MATCH(8,B4:B29,0),3)</f>
        <v>1005</v>
      </c>
      <c r="F11" s="6">
        <f>INDEX('6długot.'!B3:G28,MATCH(8,B4:B29,0),4)</f>
        <v>-2</v>
      </c>
      <c r="G11" s="61">
        <f>INDEX('6długot.'!B3:G28,MATCH(8,B4:B29,0),5)</f>
        <v>1051</v>
      </c>
      <c r="H11" s="6">
        <f>INDEX('6długot.'!B3:G28,MATCH(8,B4:B29,0),6)</f>
        <v>-48</v>
      </c>
    </row>
    <row r="12" spans="2:8" x14ac:dyDescent="0.2">
      <c r="B12" s="6">
        <f>RANK('6długot.'!C11,'6długot.'!$C$3:'6długot.'!$C$28,1)+COUNTIF('6długot.'!$C$3:'6długot.'!C11,'6długot.'!C11)-1</f>
        <v>18</v>
      </c>
      <c r="C12" s="5" t="str">
        <f>INDEX('6długot.'!B3:G28,MATCH(9,B4:B29,0),1)</f>
        <v>krośnieński</v>
      </c>
      <c r="D12" s="6">
        <f>INDEX('6długot.'!B3:G28,MATCH(9,B4:B29,0),2)</f>
        <v>1030</v>
      </c>
      <c r="E12" s="61">
        <f>INDEX('6długot.'!B3:G28,MATCH(9,B4:B29,0),3)</f>
        <v>1005</v>
      </c>
      <c r="F12" s="6">
        <f>INDEX('6długot.'!B3:G28,MATCH(9,B4:B29,0),4)</f>
        <v>25</v>
      </c>
      <c r="G12" s="61">
        <f>INDEX('6długot.'!B3:G28,MATCH(9,B4:B29,0),5)</f>
        <v>988</v>
      </c>
      <c r="H12" s="6">
        <f>INDEX('6długot.'!B3:G28,MATCH(9,B4:B29,0),6)</f>
        <v>42</v>
      </c>
    </row>
    <row r="13" spans="2:8" x14ac:dyDescent="0.2">
      <c r="B13" s="6">
        <f>RANK('6długot.'!C12,'6długot.'!$C$3:'6długot.'!$C$28,1)+COUNTIF('6długot.'!$C$3:'6długot.'!C12,'6długot.'!C12)-1</f>
        <v>7</v>
      </c>
      <c r="C13" s="5" t="str">
        <f>INDEX('6długot.'!B3:G28,MATCH(10,B4:B29,0),1)</f>
        <v>leski</v>
      </c>
      <c r="D13" s="6">
        <f>INDEX('6długot.'!B3:G28,MATCH(10,B4:B29,0),2)</f>
        <v>1094</v>
      </c>
      <c r="E13" s="61">
        <f>INDEX('6długot.'!B3:G28,MATCH(10,B4:B29,0),3)</f>
        <v>1102</v>
      </c>
      <c r="F13" s="6">
        <f>INDEX('6długot.'!B3:G28,MATCH(10,B4:B29,0),4)</f>
        <v>-8</v>
      </c>
      <c r="G13" s="61">
        <f>INDEX('6długot.'!B3:G28,MATCH(10,B4:B29,0),5)</f>
        <v>1106</v>
      </c>
      <c r="H13" s="6">
        <f>INDEX('6długot.'!B3:G28,MATCH(10,B4:B29,0),6)</f>
        <v>-12</v>
      </c>
    </row>
    <row r="14" spans="2:8" x14ac:dyDescent="0.2">
      <c r="B14" s="6">
        <f>RANK('6długot.'!C13,'6długot.'!$C$3:'6długot.'!$C$28,1)+COUNTIF('6długot.'!$C$3:'6długot.'!C13,'6długot.'!C13)-1</f>
        <v>11</v>
      </c>
      <c r="C14" s="5" t="str">
        <f>INDEX('6długot.'!B3:G28,MATCH(11,B4:B29,0),1)</f>
        <v>łańcucki</v>
      </c>
      <c r="D14" s="6">
        <f>INDEX('6długot.'!B3:G28,MATCH(11,B4:B29,0),2)</f>
        <v>1296</v>
      </c>
      <c r="E14" s="61">
        <f>INDEX('6długot.'!B3:G28,MATCH(11,B4:B29,0),3)</f>
        <v>1301</v>
      </c>
      <c r="F14" s="6">
        <f>INDEX('6długot.'!B3:G28,MATCH(11,B4:B29,0),4)</f>
        <v>-5</v>
      </c>
      <c r="G14" s="61">
        <f>INDEX('6długot.'!B3:G28,MATCH(11,B4:B29,0),5)</f>
        <v>1424</v>
      </c>
      <c r="H14" s="6">
        <f>INDEX('6długot.'!B3:G28,MATCH(11,B4:B29,0),6)</f>
        <v>-128</v>
      </c>
    </row>
    <row r="15" spans="2:8" x14ac:dyDescent="0.2">
      <c r="B15" s="6">
        <f>RANK('6długot.'!C14,'6długot.'!$C$3:'6długot.'!$C$28,1)+COUNTIF('6długot.'!$C$3:'6długot.'!C14,'6długot.'!C14)-1</f>
        <v>13</v>
      </c>
      <c r="C15" s="5" t="str">
        <f>INDEX('6długot.'!B3:G28,MATCH(12,B4:B29,0),1)</f>
        <v>ropczycko-sędziszowski</v>
      </c>
      <c r="D15" s="6">
        <f>INDEX('6długot.'!B3:G28,MATCH(12,B4:B29,0),2)</f>
        <v>1349</v>
      </c>
      <c r="E15" s="61">
        <f>INDEX('6długot.'!B3:G28,MATCH(12,B4:B29,0),3)</f>
        <v>1352</v>
      </c>
      <c r="F15" s="6">
        <f>INDEX('6długot.'!B3:G28,MATCH(12,B4:B29,0),4)</f>
        <v>-3</v>
      </c>
      <c r="G15" s="61">
        <f>INDEX('6długot.'!B3:G28,MATCH(12,B4:B29,0),5)</f>
        <v>1536</v>
      </c>
      <c r="H15" s="6">
        <f>INDEX('6długot.'!B3:G28,MATCH(12,B4:B29,0),6)</f>
        <v>-187</v>
      </c>
    </row>
    <row r="16" spans="2:8" x14ac:dyDescent="0.2">
      <c r="B16" s="6">
        <f>RANK('6długot.'!C15,'6długot.'!$C$3:'6długot.'!$C$28,1)+COUNTIF('6długot.'!$C$3:'6długot.'!C15,'6długot.'!C15)-1</f>
        <v>16</v>
      </c>
      <c r="C16" s="5" t="str">
        <f>INDEX('6długot.'!B3:G28,MATCH(13,B4:B29,0),1)</f>
        <v>mielecki</v>
      </c>
      <c r="D16" s="6">
        <f>INDEX('6długot.'!B3:G28,MATCH(13,B4:B29,0),2)</f>
        <v>1355</v>
      </c>
      <c r="E16" s="61">
        <f>INDEX('6długot.'!B3:G28,MATCH(13,B4:B29,0),3)</f>
        <v>1358</v>
      </c>
      <c r="F16" s="6">
        <f>INDEX('6długot.'!B3:G28,MATCH(13,B4:B29,0),4)</f>
        <v>-3</v>
      </c>
      <c r="G16" s="61">
        <f>INDEX('6długot.'!B3:G28,MATCH(13,B4:B29,0),5)</f>
        <v>1242</v>
      </c>
      <c r="H16" s="6">
        <f>INDEX('6długot.'!B3:G28,MATCH(13,B4:B29,0),6)</f>
        <v>113</v>
      </c>
    </row>
    <row r="17" spans="2:8" x14ac:dyDescent="0.2">
      <c r="B17" s="6">
        <f>RANK('6długot.'!C16,'6długot.'!$C$3:'6długot.'!$C$28,1)+COUNTIF('6długot.'!$C$3:'6długot.'!C16,'6długot.'!C16)-1</f>
        <v>17</v>
      </c>
      <c r="C17" s="5" t="str">
        <f>INDEX('6długot.'!B3:G28,MATCH(14,B4:B29,0),1)</f>
        <v>sanocki</v>
      </c>
      <c r="D17" s="6">
        <f>INDEX('6długot.'!B3:G28,MATCH(14,B4:B29,0),2)</f>
        <v>1443</v>
      </c>
      <c r="E17" s="61">
        <f>INDEX('6długot.'!B3:G28,MATCH(14,B4:B29,0),3)</f>
        <v>1428</v>
      </c>
      <c r="F17" s="6">
        <f>INDEX('6długot.'!B3:G28,MATCH(14,B4:B29,0),4)</f>
        <v>15</v>
      </c>
      <c r="G17" s="61">
        <f>INDEX('6długot.'!B3:G28,MATCH(14,B4:B29,0),5)</f>
        <v>1366</v>
      </c>
      <c r="H17" s="6">
        <f>INDEX('6długot.'!B3:G28,MATCH(14,B4:B29,0),6)</f>
        <v>77</v>
      </c>
    </row>
    <row r="18" spans="2:8" x14ac:dyDescent="0.2">
      <c r="B18" s="6">
        <f>RANK('6długot.'!C17,'6długot.'!$C$3:'6długot.'!$C$28,1)+COUNTIF('6długot.'!$C$3:'6długot.'!C17,'6długot.'!C17)-1</f>
        <v>20</v>
      </c>
      <c r="C18" s="5" t="str">
        <f>INDEX('6długot.'!B3:G28,MATCH(15,B4:B29,0),1)</f>
        <v>Przemyśl</v>
      </c>
      <c r="D18" s="6">
        <f>INDEX('6długot.'!B3:G28,MATCH(15,B4:B29,0),2)</f>
        <v>1569</v>
      </c>
      <c r="E18" s="61">
        <f>INDEX('6długot.'!B3:G28,MATCH(15,B4:B29,0),3)</f>
        <v>1575</v>
      </c>
      <c r="F18" s="6">
        <f>INDEX('6długot.'!B3:G28,MATCH(15,B4:B29,0),4)</f>
        <v>-6</v>
      </c>
      <c r="G18" s="61">
        <f>INDEX('6długot.'!B3:G28,MATCH(15,B4:B29,0),5)</f>
        <v>1632</v>
      </c>
      <c r="H18" s="6">
        <f>INDEX('6długot.'!B3:G28,MATCH(15,B4:B29,0),6)</f>
        <v>-63</v>
      </c>
    </row>
    <row r="19" spans="2:8" x14ac:dyDescent="0.2">
      <c r="B19" s="6">
        <f>RANK('6długot.'!C18,'6długot.'!$C$3:'6długot.'!$C$28,1)+COUNTIF('6długot.'!$C$3:'6długot.'!C18,'6długot.'!C18)-1</f>
        <v>12</v>
      </c>
      <c r="C19" s="5" t="str">
        <f>INDEX('6długot.'!B3:G28,MATCH(16,B4:B29,0),1)</f>
        <v>niżański</v>
      </c>
      <c r="D19" s="6">
        <f>INDEX('6długot.'!B3:G28,MATCH(16,B4:B29,0),2)</f>
        <v>1709</v>
      </c>
      <c r="E19" s="61">
        <f>INDEX('6długot.'!B3:G28,MATCH(16,B4:B29,0),3)</f>
        <v>1753</v>
      </c>
      <c r="F19" s="6">
        <f>INDEX('6długot.'!B3:G28,MATCH(16,B4:B29,0),4)</f>
        <v>-44</v>
      </c>
      <c r="G19" s="61">
        <f>INDEX('6długot.'!B3:G28,MATCH(16,B4:B29,0),5)</f>
        <v>1820</v>
      </c>
      <c r="H19" s="6">
        <f>INDEX('6długot.'!B3:G28,MATCH(16,B4:B29,0),6)</f>
        <v>-111</v>
      </c>
    </row>
    <row r="20" spans="2:8" x14ac:dyDescent="0.2">
      <c r="B20" s="6">
        <f>RANK('6długot.'!C19,'6długot.'!$C$3:'6długot.'!$C$28,1)+COUNTIF('6długot.'!$C$3:'6długot.'!C19,'6długot.'!C19)-1</f>
        <v>23</v>
      </c>
      <c r="C20" s="5" t="str">
        <f>INDEX('6długot.'!B3:G28,MATCH(17,B4:B29,0),1)</f>
        <v>przemyski</v>
      </c>
      <c r="D20" s="6">
        <f>INDEX('6długot.'!B3:G28,MATCH(17,B4:B29,0),2)</f>
        <v>1758</v>
      </c>
      <c r="E20" s="61">
        <f>INDEX('6długot.'!B3:G28,MATCH(17,B4:B29,0),3)</f>
        <v>1780</v>
      </c>
      <c r="F20" s="6">
        <f>INDEX('6długot.'!B3:G28,MATCH(17,B4:B29,0),4)</f>
        <v>-22</v>
      </c>
      <c r="G20" s="61">
        <f>INDEX('6długot.'!B3:G28,MATCH(17,B4:B29,0),5)</f>
        <v>1926</v>
      </c>
      <c r="H20" s="6">
        <f>INDEX('6długot.'!B3:G28,MATCH(17,B4:B29,0),6)</f>
        <v>-168</v>
      </c>
    </row>
    <row r="21" spans="2:8" x14ac:dyDescent="0.2">
      <c r="B21" s="6">
        <f>RANK('6długot.'!C20,'6długot.'!$C$3:'6długot.'!$C$28,1)+COUNTIF('6długot.'!$C$3:'6długot.'!C20,'6długot.'!C20)-1</f>
        <v>14</v>
      </c>
      <c r="C21" s="5" t="str">
        <f>INDEX('6długot.'!B3:G28,MATCH(18,B4:B29,0),1)</f>
        <v>leżajski</v>
      </c>
      <c r="D21" s="6">
        <f>INDEX('6długot.'!B3:G28,MATCH(18,B4:B29,0),2)</f>
        <v>1797</v>
      </c>
      <c r="E21" s="61">
        <f>INDEX('6długot.'!B3:G28,MATCH(18,B4:B29,0),3)</f>
        <v>1803</v>
      </c>
      <c r="F21" s="6">
        <f>INDEX('6długot.'!B3:G28,MATCH(18,B4:B29,0),4)</f>
        <v>-6</v>
      </c>
      <c r="G21" s="61">
        <f>INDEX('6długot.'!B3:G28,MATCH(18,B4:B29,0),5)</f>
        <v>1979</v>
      </c>
      <c r="H21" s="6">
        <f>INDEX('6długot.'!B3:G28,MATCH(18,B4:B29,0),6)</f>
        <v>-182</v>
      </c>
    </row>
    <row r="22" spans="2:8" x14ac:dyDescent="0.2">
      <c r="B22" s="6">
        <f>RANK('6długot.'!C21,'6długot.'!$C$3:'6długot.'!$C$28,1)+COUNTIF('6długot.'!$C$3:'6długot.'!C21,'6długot.'!C21)-1</f>
        <v>6</v>
      </c>
      <c r="C22" s="5" t="str">
        <f>INDEX('6długot.'!B3:G28,MATCH(19,B4:B29,0),1)</f>
        <v>strzyżowski</v>
      </c>
      <c r="D22" s="6">
        <f>INDEX('6długot.'!B3:G28,MATCH(19,B4:B29,0),2)</f>
        <v>1958</v>
      </c>
      <c r="E22" s="61">
        <f>INDEX('6długot.'!B3:G28,MATCH(19,B4:B29,0),3)</f>
        <v>1976</v>
      </c>
      <c r="F22" s="6">
        <f>INDEX('6długot.'!B3:G28,MATCH(19,B4:B29,0),4)</f>
        <v>-18</v>
      </c>
      <c r="G22" s="61">
        <f>INDEX('6długot.'!B3:G28,MATCH(19,B4:B29,0),5)</f>
        <v>2087</v>
      </c>
      <c r="H22" s="6">
        <f>INDEX('6długot.'!B3:G28,MATCH(19,B4:B29,0),6)</f>
        <v>-129</v>
      </c>
    </row>
    <row r="23" spans="2:8" x14ac:dyDescent="0.2">
      <c r="B23" s="6">
        <f>RANK('6długot.'!C22,'6długot.'!$C$3:'6długot.'!$C$28,1)+COUNTIF('6długot.'!$C$3:'6długot.'!C22,'6długot.'!C22)-1</f>
        <v>19</v>
      </c>
      <c r="C23" s="5" t="str">
        <f>INDEX('6długot.'!B3:G28,MATCH(20,B4:B29,0),1)</f>
        <v>przeworski</v>
      </c>
      <c r="D23" s="6">
        <f>INDEX('6długot.'!B3:G28,MATCH(20,B4:B29,0),2)</f>
        <v>1990</v>
      </c>
      <c r="E23" s="61">
        <f>INDEX('6długot.'!B3:G28,MATCH(20,B4:B29,0),3)</f>
        <v>2016</v>
      </c>
      <c r="F23" s="6">
        <f>INDEX('6długot.'!B3:G28,MATCH(20,B4:B29,0),4)</f>
        <v>-26</v>
      </c>
      <c r="G23" s="61">
        <f>INDEX('6długot.'!B3:G28,MATCH(20,B4:B29,0),5)</f>
        <v>2207</v>
      </c>
      <c r="H23" s="6">
        <f>INDEX('6długot.'!B3:G28,MATCH(20,B4:B29,0),6)</f>
        <v>-217</v>
      </c>
    </row>
    <row r="24" spans="2:8" x14ac:dyDescent="0.2">
      <c r="B24" s="6">
        <f>RANK('6długot.'!C23,'6długot.'!$C$3:'6długot.'!$C$28,1)+COUNTIF('6długot.'!$C$3:'6długot.'!C23,'6długot.'!C23)-1</f>
        <v>4</v>
      </c>
      <c r="C24" s="5" t="str">
        <f>INDEX('6długot.'!B3:G28,MATCH(21,B4:B29,0),1)</f>
        <v>brzozowski</v>
      </c>
      <c r="D24" s="6">
        <f>INDEX('6długot.'!B3:G28,MATCH(21,B4:B29,0),2)</f>
        <v>2514</v>
      </c>
      <c r="E24" s="61">
        <f>INDEX('6długot.'!B3:G28,MATCH(21,B4:B29,0),3)</f>
        <v>2520</v>
      </c>
      <c r="F24" s="6">
        <f>INDEX('6długot.'!B3:G28,MATCH(21,B4:B29,0),4)</f>
        <v>-6</v>
      </c>
      <c r="G24" s="61">
        <f>INDEX('6długot.'!B3:G28,MATCH(21,B4:B29,0),5)</f>
        <v>2642</v>
      </c>
      <c r="H24" s="6">
        <f>INDEX('6długot.'!B3:G28,MATCH(21,B4:B29,0),6)</f>
        <v>-128</v>
      </c>
    </row>
    <row r="25" spans="2:8" x14ac:dyDescent="0.2">
      <c r="B25" s="6">
        <f>RANK('6długot.'!C24,'6długot.'!$C$3:'6długot.'!$C$28,1)+COUNTIF('6długot.'!$C$3:'6długot.'!C24,'6długot.'!C24)-1</f>
        <v>1</v>
      </c>
      <c r="C25" s="5" t="str">
        <f>INDEX('6długot.'!B3:G28,MATCH(22,B4:B29,0),1)</f>
        <v>jarosławski</v>
      </c>
      <c r="D25" s="6">
        <f>INDEX('6długot.'!B3:G28,MATCH(22,B4:B29,0),2)</f>
        <v>2533</v>
      </c>
      <c r="E25" s="61">
        <f>INDEX('6długot.'!B3:G28,MATCH(22,B4:B29,0),3)</f>
        <v>2516</v>
      </c>
      <c r="F25" s="6">
        <f>INDEX('6długot.'!B3:G28,MATCH(22,B4:B29,0),4)</f>
        <v>17</v>
      </c>
      <c r="G25" s="61">
        <f>INDEX('6długot.'!B3:G28,MATCH(22,B4:B29,0),5)</f>
        <v>2825</v>
      </c>
      <c r="H25" s="6">
        <f>INDEX('6długot.'!B3:G28,MATCH(22,B4:B29,0),6)</f>
        <v>-292</v>
      </c>
    </row>
    <row r="26" spans="2:8" x14ac:dyDescent="0.2">
      <c r="B26" s="6">
        <f>RANK('6długot.'!C25,'6długot.'!$C$3:'6długot.'!$C$28,1)+COUNTIF('6długot.'!$C$3:'6długot.'!C25,'6długot.'!C25)-1</f>
        <v>15</v>
      </c>
      <c r="C26" s="5" t="str">
        <f>INDEX('6długot.'!B3:G28,MATCH(23,B4:B29,0),1)</f>
        <v>rzeszowski</v>
      </c>
      <c r="D26" s="6">
        <f>INDEX('6długot.'!B3:G28,MATCH(23,B4:B29,0),2)</f>
        <v>2617</v>
      </c>
      <c r="E26" s="61">
        <f>INDEX('6długot.'!B3:G28,MATCH(23,B4:B29,0),3)</f>
        <v>2613</v>
      </c>
      <c r="F26" s="6">
        <f>INDEX('6długot.'!B3:G28,MATCH(23,B4:B29,0),4)</f>
        <v>4</v>
      </c>
      <c r="G26" s="61">
        <f>INDEX('6długot.'!B3:G28,MATCH(23,B4:B29,0),5)</f>
        <v>2954</v>
      </c>
      <c r="H26" s="6">
        <f>INDEX('6długot.'!B3:G28,MATCH(23,B4:B29,0),6)</f>
        <v>-337</v>
      </c>
    </row>
    <row r="27" spans="2:8" x14ac:dyDescent="0.2">
      <c r="B27" s="6">
        <f>RANK('6długot.'!C26,'6długot.'!$C$3:'6długot.'!$C$28,1)+COUNTIF('6długot.'!$C$3:'6długot.'!C26,'6długot.'!C26)-1</f>
        <v>24</v>
      </c>
      <c r="C27" s="5" t="str">
        <f>INDEX('6długot.'!B3:G28,MATCH(24,B4:B29,0),1)</f>
        <v>Rzeszów</v>
      </c>
      <c r="D27" s="6">
        <f>INDEX('6długot.'!B3:G28,MATCH(24,B4:B29,0),2)</f>
        <v>3076</v>
      </c>
      <c r="E27" s="61">
        <f>INDEX('6długot.'!B3:G28,MATCH(24,B4:B29,0),3)</f>
        <v>3092</v>
      </c>
      <c r="F27" s="6">
        <f>INDEX('6długot.'!B3:G28,MATCH(24,B4:B29,0),4)</f>
        <v>-16</v>
      </c>
      <c r="G27" s="61">
        <f>INDEX('6długot.'!B3:G28,MATCH(24,B4:B29,0),5)</f>
        <v>3369</v>
      </c>
      <c r="H27" s="6">
        <f>INDEX('6długot.'!B3:G28,MATCH(24,B4:B29,0),6)</f>
        <v>-293</v>
      </c>
    </row>
    <row r="28" spans="2:8" x14ac:dyDescent="0.2">
      <c r="B28" s="6">
        <f>RANK('6długot.'!C27,'6długot.'!$C$3:'6długot.'!$C$28,1)+COUNTIF('6długot.'!$C$3:'6długot.'!C27,'6długot.'!C27)-1</f>
        <v>2</v>
      </c>
      <c r="C28" s="5" t="str">
        <f>INDEX('6długot.'!B3:G28,MATCH(25,B4:B29,0),1)</f>
        <v>jasielski</v>
      </c>
      <c r="D28" s="6">
        <f>INDEX('6długot.'!B3:G28,MATCH(25,B4:B29,0),2)</f>
        <v>3131</v>
      </c>
      <c r="E28" s="61">
        <f>INDEX('6długot.'!B3:G28,MATCH(25,B4:B29,0),3)</f>
        <v>3175</v>
      </c>
      <c r="F28" s="6">
        <f>INDEX('6długot.'!B3:G28,MATCH(25,B4:B29,0),4)</f>
        <v>-44</v>
      </c>
      <c r="G28" s="61">
        <f>INDEX('6długot.'!B3:G28,MATCH(25,B4:B29,0),5)</f>
        <v>3100</v>
      </c>
      <c r="H28" s="6">
        <f>INDEX('6długot.'!B3:G28,MATCH(25,B4:B29,0),6)</f>
        <v>31</v>
      </c>
    </row>
    <row r="29" spans="2:8" ht="15" x14ac:dyDescent="0.25">
      <c r="B29" s="59">
        <f>RANK('6długot.'!C28,'6długot.'!$C$3:'6długot.'!$C$28,1)+COUNTIF('6długot.'!$C$3:'6długot.'!C28,'6długot.'!C28)-1</f>
        <v>26</v>
      </c>
      <c r="C29" s="58" t="str">
        <f>INDEX('6długot.'!B3:G28,MATCH(26,B4:B29,0),1)</f>
        <v>województwo</v>
      </c>
      <c r="D29" s="59">
        <f>INDEX('6długot.'!B3:G28,MATCH(26,B4:B29,0),2)</f>
        <v>37938</v>
      </c>
      <c r="E29" s="63">
        <f>INDEX('6długot.'!B3:G28,MATCH(26,B4:B29,0),3)</f>
        <v>38059</v>
      </c>
      <c r="F29" s="59">
        <f>INDEX('6długot.'!B3:G28,MATCH(26,B4:B29,0),4)</f>
        <v>-121</v>
      </c>
      <c r="G29" s="63">
        <f>INDEX('6długot.'!B3:G28,MATCH(26,B4:B29,0),5)</f>
        <v>40224</v>
      </c>
      <c r="H29" s="59">
        <f>INDEX('6długot.'!B3:G28,MATCH(26,B4:B29,0),6)</f>
        <v>-2286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8" width="9.140625" style="3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94</v>
      </c>
      <c r="C1" s="44"/>
      <c r="D1" s="44"/>
      <c r="E1" s="44"/>
      <c r="F1" s="44"/>
      <c r="G1" s="44"/>
    </row>
    <row r="2" spans="2:8" ht="57.75" x14ac:dyDescent="0.2">
      <c r="B2" s="55" t="s">
        <v>27</v>
      </c>
      <c r="C2" s="56" t="s">
        <v>155</v>
      </c>
      <c r="D2" s="57" t="s">
        <v>154</v>
      </c>
      <c r="E2" s="56" t="s">
        <v>28</v>
      </c>
      <c r="F2" s="57" t="s">
        <v>156</v>
      </c>
      <c r="G2" s="56" t="s">
        <v>26</v>
      </c>
    </row>
    <row r="3" spans="2:8" x14ac:dyDescent="0.2">
      <c r="B3" s="5" t="s">
        <v>0</v>
      </c>
      <c r="C3" s="45">
        <v>289</v>
      </c>
      <c r="D3" s="61">
        <v>303</v>
      </c>
      <c r="E3" s="45">
        <f t="shared" ref="E3:E27" si="0">SUM(C3)-D3</f>
        <v>-14</v>
      </c>
      <c r="F3" s="61">
        <v>321</v>
      </c>
      <c r="G3" s="45">
        <f t="shared" ref="G3:G27" si="1">SUM(C3)-F3</f>
        <v>-32</v>
      </c>
      <c r="H3" s="7"/>
    </row>
    <row r="4" spans="2:8" x14ac:dyDescent="0.2">
      <c r="B4" s="5" t="s">
        <v>1</v>
      </c>
      <c r="C4" s="45">
        <v>1053</v>
      </c>
      <c r="D4" s="61">
        <v>1067</v>
      </c>
      <c r="E4" s="45">
        <f t="shared" si="0"/>
        <v>-14</v>
      </c>
      <c r="F4" s="61">
        <v>1058</v>
      </c>
      <c r="G4" s="45">
        <f t="shared" si="1"/>
        <v>-5</v>
      </c>
      <c r="H4" s="7"/>
    </row>
    <row r="5" spans="2:8" x14ac:dyDescent="0.2">
      <c r="B5" s="5" t="s">
        <v>2</v>
      </c>
      <c r="C5" s="45">
        <v>750</v>
      </c>
      <c r="D5" s="61">
        <v>761</v>
      </c>
      <c r="E5" s="45">
        <f t="shared" si="0"/>
        <v>-11</v>
      </c>
      <c r="F5" s="61">
        <v>807</v>
      </c>
      <c r="G5" s="45">
        <f t="shared" si="1"/>
        <v>-57</v>
      </c>
      <c r="H5" s="7"/>
    </row>
    <row r="6" spans="2:8" x14ac:dyDescent="0.2">
      <c r="B6" s="5" t="s">
        <v>3</v>
      </c>
      <c r="C6" s="45">
        <v>1228</v>
      </c>
      <c r="D6" s="61">
        <v>1247</v>
      </c>
      <c r="E6" s="45">
        <f t="shared" si="0"/>
        <v>-19</v>
      </c>
      <c r="F6" s="61">
        <v>1324</v>
      </c>
      <c r="G6" s="45">
        <f t="shared" si="1"/>
        <v>-96</v>
      </c>
      <c r="H6" s="7"/>
    </row>
    <row r="7" spans="2:8" x14ac:dyDescent="0.2">
      <c r="B7" s="5" t="s">
        <v>4</v>
      </c>
      <c r="C7" s="45">
        <v>1373</v>
      </c>
      <c r="D7" s="61">
        <v>1456</v>
      </c>
      <c r="E7" s="45">
        <f t="shared" si="0"/>
        <v>-83</v>
      </c>
      <c r="F7" s="61">
        <v>1340</v>
      </c>
      <c r="G7" s="45">
        <f t="shared" si="1"/>
        <v>33</v>
      </c>
      <c r="H7" s="7"/>
    </row>
    <row r="8" spans="2:8" x14ac:dyDescent="0.2">
      <c r="B8" s="5" t="s">
        <v>5</v>
      </c>
      <c r="C8" s="45">
        <v>458</v>
      </c>
      <c r="D8" s="61">
        <v>449</v>
      </c>
      <c r="E8" s="45">
        <f t="shared" si="0"/>
        <v>9</v>
      </c>
      <c r="F8" s="61">
        <v>506</v>
      </c>
      <c r="G8" s="45">
        <f t="shared" si="1"/>
        <v>-48</v>
      </c>
      <c r="H8" s="7"/>
    </row>
    <row r="9" spans="2:8" x14ac:dyDescent="0.2">
      <c r="B9" s="9" t="s">
        <v>6</v>
      </c>
      <c r="C9" s="45">
        <v>712</v>
      </c>
      <c r="D9" s="61">
        <v>691</v>
      </c>
      <c r="E9" s="45">
        <f t="shared" si="0"/>
        <v>21</v>
      </c>
      <c r="F9" s="61">
        <v>586</v>
      </c>
      <c r="G9" s="45">
        <f t="shared" si="1"/>
        <v>126</v>
      </c>
      <c r="H9" s="7"/>
    </row>
    <row r="10" spans="2:8" x14ac:dyDescent="0.2">
      <c r="B10" s="5" t="s">
        <v>7</v>
      </c>
      <c r="C10" s="45">
        <v>457</v>
      </c>
      <c r="D10" s="61">
        <v>444</v>
      </c>
      <c r="E10" s="45">
        <f t="shared" si="0"/>
        <v>13</v>
      </c>
      <c r="F10" s="61">
        <v>478</v>
      </c>
      <c r="G10" s="45">
        <f t="shared" si="1"/>
        <v>-21</v>
      </c>
      <c r="H10" s="7"/>
    </row>
    <row r="11" spans="2:8" x14ac:dyDescent="0.2">
      <c r="B11" s="5" t="s">
        <v>8</v>
      </c>
      <c r="C11" s="45">
        <v>930</v>
      </c>
      <c r="D11" s="61">
        <v>945</v>
      </c>
      <c r="E11" s="45">
        <f t="shared" si="0"/>
        <v>-15</v>
      </c>
      <c r="F11" s="61">
        <v>941</v>
      </c>
      <c r="G11" s="45">
        <f t="shared" si="1"/>
        <v>-11</v>
      </c>
      <c r="H11" s="7"/>
    </row>
    <row r="12" spans="2:8" x14ac:dyDescent="0.2">
      <c r="B12" s="5" t="s">
        <v>9</v>
      </c>
      <c r="C12" s="45">
        <v>545</v>
      </c>
      <c r="D12" s="61">
        <v>581</v>
      </c>
      <c r="E12" s="45">
        <f t="shared" si="0"/>
        <v>-36</v>
      </c>
      <c r="F12" s="61">
        <v>563</v>
      </c>
      <c r="G12" s="45">
        <f t="shared" si="1"/>
        <v>-18</v>
      </c>
      <c r="H12" s="7"/>
    </row>
    <row r="13" spans="2:8" x14ac:dyDescent="0.2">
      <c r="B13" s="5" t="s">
        <v>10</v>
      </c>
      <c r="C13" s="45">
        <v>774</v>
      </c>
      <c r="D13" s="61">
        <v>801</v>
      </c>
      <c r="E13" s="45">
        <f t="shared" si="0"/>
        <v>-27</v>
      </c>
      <c r="F13" s="61">
        <v>832</v>
      </c>
      <c r="G13" s="45">
        <f t="shared" si="1"/>
        <v>-58</v>
      </c>
      <c r="H13" s="7"/>
    </row>
    <row r="14" spans="2:8" x14ac:dyDescent="0.2">
      <c r="B14" s="5" t="s">
        <v>11</v>
      </c>
      <c r="C14" s="45">
        <v>818</v>
      </c>
      <c r="D14" s="61">
        <v>815</v>
      </c>
      <c r="E14" s="45">
        <f t="shared" si="0"/>
        <v>3</v>
      </c>
      <c r="F14" s="61">
        <v>734</v>
      </c>
      <c r="G14" s="45">
        <f t="shared" si="1"/>
        <v>84</v>
      </c>
      <c r="H14" s="7"/>
    </row>
    <row r="15" spans="2:8" x14ac:dyDescent="0.2">
      <c r="B15" s="5" t="s">
        <v>12</v>
      </c>
      <c r="C15" s="45">
        <v>844</v>
      </c>
      <c r="D15" s="61">
        <v>896</v>
      </c>
      <c r="E15" s="45">
        <f t="shared" si="0"/>
        <v>-52</v>
      </c>
      <c r="F15" s="61">
        <v>883</v>
      </c>
      <c r="G15" s="45">
        <f t="shared" si="1"/>
        <v>-39</v>
      </c>
      <c r="H15" s="7"/>
    </row>
    <row r="16" spans="2:8" x14ac:dyDescent="0.2">
      <c r="B16" s="5" t="s">
        <v>13</v>
      </c>
      <c r="C16" s="45">
        <v>863</v>
      </c>
      <c r="D16" s="61">
        <v>879</v>
      </c>
      <c r="E16" s="45">
        <f t="shared" si="0"/>
        <v>-16</v>
      </c>
      <c r="F16" s="61">
        <v>851</v>
      </c>
      <c r="G16" s="45">
        <f t="shared" si="1"/>
        <v>12</v>
      </c>
      <c r="H16" s="7"/>
    </row>
    <row r="17" spans="2:8" x14ac:dyDescent="0.2">
      <c r="B17" s="5" t="s">
        <v>14</v>
      </c>
      <c r="C17" s="45">
        <v>928</v>
      </c>
      <c r="D17" s="61">
        <v>959</v>
      </c>
      <c r="E17" s="45">
        <f t="shared" si="0"/>
        <v>-31</v>
      </c>
      <c r="F17" s="61">
        <v>1000</v>
      </c>
      <c r="G17" s="45">
        <f t="shared" si="1"/>
        <v>-72</v>
      </c>
      <c r="H17" s="7"/>
    </row>
    <row r="18" spans="2:8" x14ac:dyDescent="0.2">
      <c r="B18" s="5" t="s">
        <v>15</v>
      </c>
      <c r="C18" s="45">
        <v>820</v>
      </c>
      <c r="D18" s="61">
        <v>816</v>
      </c>
      <c r="E18" s="45">
        <f t="shared" si="0"/>
        <v>4</v>
      </c>
      <c r="F18" s="61">
        <v>797</v>
      </c>
      <c r="G18" s="45">
        <f t="shared" si="1"/>
        <v>23</v>
      </c>
      <c r="H18" s="7"/>
    </row>
    <row r="19" spans="2:8" x14ac:dyDescent="0.2">
      <c r="B19" s="5" t="s">
        <v>16</v>
      </c>
      <c r="C19" s="45">
        <v>1306</v>
      </c>
      <c r="D19" s="61">
        <v>1297</v>
      </c>
      <c r="E19" s="45">
        <f t="shared" si="0"/>
        <v>9</v>
      </c>
      <c r="F19" s="61">
        <v>1317</v>
      </c>
      <c r="G19" s="45">
        <f t="shared" si="1"/>
        <v>-11</v>
      </c>
      <c r="H19" s="7"/>
    </row>
    <row r="20" spans="2:8" x14ac:dyDescent="0.2">
      <c r="B20" s="5" t="s">
        <v>17</v>
      </c>
      <c r="C20" s="45">
        <v>808</v>
      </c>
      <c r="D20" s="61">
        <v>801</v>
      </c>
      <c r="E20" s="45">
        <f t="shared" si="0"/>
        <v>7</v>
      </c>
      <c r="F20" s="61">
        <v>794</v>
      </c>
      <c r="G20" s="45">
        <f t="shared" si="1"/>
        <v>14</v>
      </c>
      <c r="H20" s="7"/>
    </row>
    <row r="21" spans="2:8" x14ac:dyDescent="0.2">
      <c r="B21" s="5" t="s">
        <v>18</v>
      </c>
      <c r="C21" s="45">
        <v>566</v>
      </c>
      <c r="D21" s="61">
        <v>565</v>
      </c>
      <c r="E21" s="45">
        <f t="shared" si="0"/>
        <v>1</v>
      </c>
      <c r="F21" s="61">
        <v>528</v>
      </c>
      <c r="G21" s="45">
        <f t="shared" si="1"/>
        <v>38</v>
      </c>
      <c r="H21" s="7"/>
    </row>
    <row r="22" spans="2:8" x14ac:dyDescent="0.2">
      <c r="B22" s="5" t="s">
        <v>19</v>
      </c>
      <c r="C22" s="45">
        <v>898</v>
      </c>
      <c r="D22" s="61">
        <v>923</v>
      </c>
      <c r="E22" s="45">
        <f t="shared" si="0"/>
        <v>-25</v>
      </c>
      <c r="F22" s="61">
        <v>947</v>
      </c>
      <c r="G22" s="45">
        <f t="shared" si="1"/>
        <v>-49</v>
      </c>
      <c r="H22" s="7"/>
    </row>
    <row r="23" spans="2:8" x14ac:dyDescent="0.2">
      <c r="B23" s="5" t="s">
        <v>20</v>
      </c>
      <c r="C23" s="45">
        <v>369</v>
      </c>
      <c r="D23" s="61">
        <v>364</v>
      </c>
      <c r="E23" s="45">
        <f t="shared" si="0"/>
        <v>5</v>
      </c>
      <c r="F23" s="61">
        <v>364</v>
      </c>
      <c r="G23" s="45">
        <f t="shared" si="1"/>
        <v>5</v>
      </c>
      <c r="H23" s="7"/>
    </row>
    <row r="24" spans="2:8" x14ac:dyDescent="0.2">
      <c r="B24" s="5" t="s">
        <v>21</v>
      </c>
      <c r="C24" s="45">
        <v>189</v>
      </c>
      <c r="D24" s="61">
        <v>177</v>
      </c>
      <c r="E24" s="45">
        <f t="shared" si="0"/>
        <v>12</v>
      </c>
      <c r="F24" s="61">
        <v>152</v>
      </c>
      <c r="G24" s="45">
        <f t="shared" si="1"/>
        <v>37</v>
      </c>
      <c r="H24" s="7"/>
    </row>
    <row r="25" spans="2:8" x14ac:dyDescent="0.2">
      <c r="B25" s="5" t="s">
        <v>22</v>
      </c>
      <c r="C25" s="45">
        <v>456</v>
      </c>
      <c r="D25" s="61">
        <v>453</v>
      </c>
      <c r="E25" s="45">
        <f t="shared" si="0"/>
        <v>3</v>
      </c>
      <c r="F25" s="61">
        <v>459</v>
      </c>
      <c r="G25" s="45">
        <f t="shared" si="1"/>
        <v>-3</v>
      </c>
      <c r="H25" s="7"/>
    </row>
    <row r="26" spans="2:8" x14ac:dyDescent="0.2">
      <c r="B26" s="5" t="s">
        <v>23</v>
      </c>
      <c r="C26" s="45">
        <v>972</v>
      </c>
      <c r="D26" s="61">
        <v>942</v>
      </c>
      <c r="E26" s="45">
        <f t="shared" si="0"/>
        <v>30</v>
      </c>
      <c r="F26" s="61">
        <v>1000</v>
      </c>
      <c r="G26" s="45">
        <f t="shared" si="1"/>
        <v>-28</v>
      </c>
      <c r="H26" s="7"/>
    </row>
    <row r="27" spans="2:8" x14ac:dyDescent="0.2">
      <c r="B27" s="5" t="s">
        <v>24</v>
      </c>
      <c r="C27" s="45">
        <v>236</v>
      </c>
      <c r="D27" s="61">
        <v>238</v>
      </c>
      <c r="E27" s="45">
        <f t="shared" si="0"/>
        <v>-2</v>
      </c>
      <c r="F27" s="61">
        <v>218</v>
      </c>
      <c r="G27" s="45">
        <f t="shared" si="1"/>
        <v>18</v>
      </c>
      <c r="H27" s="7"/>
    </row>
    <row r="28" spans="2:8" ht="15" x14ac:dyDescent="0.25">
      <c r="B28" s="58" t="s">
        <v>25</v>
      </c>
      <c r="C28" s="77">
        <f>SUM(C3:C27)</f>
        <v>18642</v>
      </c>
      <c r="D28" s="63">
        <f>SUM(D3:D27)</f>
        <v>18870</v>
      </c>
      <c r="E28" s="77">
        <f>SUM(E3:E27)</f>
        <v>-228</v>
      </c>
      <c r="F28" s="63">
        <f>SUM(F3:F27)</f>
        <v>18800</v>
      </c>
      <c r="G28" s="77">
        <f>SUM(G3:G27)</f>
        <v>-158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81</v>
      </c>
    </row>
    <row r="2" spans="2:8" ht="15" x14ac:dyDescent="0.2">
      <c r="C2" s="20"/>
      <c r="D2" s="21"/>
    </row>
    <row r="3" spans="2:8" ht="71.25" x14ac:dyDescent="0.2">
      <c r="B3" s="62" t="s">
        <v>86</v>
      </c>
      <c r="C3" s="55" t="str">
        <f>T('7do 30 r.ż.'!B2)</f>
        <v>powiaty</v>
      </c>
      <c r="D3" s="55" t="str">
        <f>T('7do 30 r.ż.'!C2)</f>
        <v>liczba bezrobotnych do 30 r. ż. stan na 29-02-'24 r.</v>
      </c>
      <c r="E3" s="55" t="str">
        <f>T('7do 30 r.ż.'!D2)</f>
        <v>liczba bezrobotnych do 30 r. ż. stan na 31-01-'24 r.</v>
      </c>
      <c r="F3" s="55" t="str">
        <f>T('7do 30 r.ż.'!E2)</f>
        <v>wzrost/spadek do poprzedniego  miesiąca</v>
      </c>
      <c r="G3" s="55" t="str">
        <f>T('7do 30 r.ż.'!F2)</f>
        <v>liczba bezrobotnych do 30 r. ż. stan na 28-02-'23 r.</v>
      </c>
      <c r="H3" s="55" t="str">
        <f>T('7do 30 r.ż.'!G2)</f>
        <v>wzrost/spadek do analogicznego okresu ubr.</v>
      </c>
    </row>
    <row r="4" spans="2:8" x14ac:dyDescent="0.2">
      <c r="B4" s="6">
        <f>RANK('7do 30 r.ż.'!C3,'7do 30 r.ż.'!$C$3:'7do 30 r.ż.'!$C$28,1)+COUNTIF('7do 30 r.ż.'!$C$3:'7do 30 r.ż.'!C3,'7do 30 r.ż.'!C3)-1</f>
        <v>3</v>
      </c>
      <c r="C4" s="5" t="str">
        <f>INDEX('7do 30 r.ż.'!B3:G28,MATCH(1,B4:B29,0),1)</f>
        <v>Krosno</v>
      </c>
      <c r="D4" s="25">
        <f>INDEX('7do 30 r.ż.'!B3:G28,MATCH(1,B4:B29,0),2)</f>
        <v>189</v>
      </c>
      <c r="E4" s="61">
        <f>INDEX('7do 30 r.ż.'!B3:G28,MATCH(1,B4:B29,0),3)</f>
        <v>177</v>
      </c>
      <c r="F4" s="6">
        <f>INDEX('7do 30 r.ż.'!B3:G28,MATCH(1,B4:B29,0),4)</f>
        <v>12</v>
      </c>
      <c r="G4" s="61">
        <f>INDEX('7do 30 r.ż.'!B3:G28,MATCH(1,B4:B29,0),5)</f>
        <v>152</v>
      </c>
      <c r="H4" s="6">
        <f>INDEX('7do 30 r.ż.'!B3:G28,MATCH(1,B4:B29,0),6)</f>
        <v>37</v>
      </c>
    </row>
    <row r="5" spans="2:8" x14ac:dyDescent="0.2">
      <c r="B5" s="6">
        <f>RANK('7do 30 r.ż.'!C4,'7do 30 r.ż.'!$C$3:'7do 30 r.ż.'!$C$28,1)+COUNTIF('7do 30 r.ż.'!$C$3:'7do 30 r.ż.'!C4,'7do 30 r.ż.'!C4)-1</f>
        <v>22</v>
      </c>
      <c r="C5" s="5" t="str">
        <f>INDEX('7do 30 r.ż.'!B3:G28,MATCH(2,B4:B29,0),1)</f>
        <v>Tarnobrzeg</v>
      </c>
      <c r="D5" s="6">
        <f>INDEX('7do 30 r.ż.'!B3:G28,MATCH(2,B4:B29,0),2)</f>
        <v>236</v>
      </c>
      <c r="E5" s="61">
        <f>INDEX('7do 30 r.ż.'!B3:G28,MATCH(2,B4:B29,0),3)</f>
        <v>238</v>
      </c>
      <c r="F5" s="6">
        <f>INDEX('7do 30 r.ż.'!B3:G28,MATCH(2,B4:B29,0),4)</f>
        <v>-2</v>
      </c>
      <c r="G5" s="61">
        <f>INDEX('7do 30 r.ż.'!B3:G28,MATCH(2,B4:B29,0),5)</f>
        <v>218</v>
      </c>
      <c r="H5" s="6">
        <f>INDEX('7do 30 r.ż.'!B3:G28,MATCH(2,B4:B29,0),6)</f>
        <v>18</v>
      </c>
    </row>
    <row r="6" spans="2:8" x14ac:dyDescent="0.2">
      <c r="B6" s="6">
        <f>RANK('7do 30 r.ż.'!C5,'7do 30 r.ż.'!$C$3:'7do 30 r.ż.'!$C$28,1)+COUNTIF('7do 30 r.ż.'!$C$3:'7do 30 r.ż.'!C5,'7do 30 r.ż.'!C5)-1</f>
        <v>11</v>
      </c>
      <c r="C6" s="5" t="str">
        <f>INDEX('7do 30 r.ż.'!B3:G28,MATCH(3,B4:B29,0),1)</f>
        <v>bieszczadzki</v>
      </c>
      <c r="D6" s="6">
        <f>INDEX('7do 30 r.ż.'!B3:G28,MATCH(3,B4:B29,0),2)</f>
        <v>289</v>
      </c>
      <c r="E6" s="61">
        <f>INDEX('7do 30 r.ż.'!B3:G28,MATCH(3,B4:B29,0),3)</f>
        <v>303</v>
      </c>
      <c r="F6" s="6">
        <f>INDEX('7do 30 r.ż.'!B3:G28,MATCH(3,B4:B29,0),4)</f>
        <v>-14</v>
      </c>
      <c r="G6" s="61">
        <f>INDEX('7do 30 r.ż.'!B3:G28,MATCH(3,B4:B29,0),5)</f>
        <v>321</v>
      </c>
      <c r="H6" s="6">
        <f>INDEX('7do 30 r.ż.'!B3:G28,MATCH(3,B4:B29,0),6)</f>
        <v>-32</v>
      </c>
    </row>
    <row r="7" spans="2:8" x14ac:dyDescent="0.2">
      <c r="B7" s="6">
        <f>RANK('7do 30 r.ż.'!C6,'7do 30 r.ż.'!$C$3:'7do 30 r.ż.'!$C$28,1)+COUNTIF('7do 30 r.ż.'!$C$3:'7do 30 r.ż.'!C6,'7do 30 r.ż.'!C6)-1</f>
        <v>23</v>
      </c>
      <c r="C7" s="5" t="str">
        <f>INDEX('7do 30 r.ż.'!B3:G28,MATCH(4,B4:B29,0),1)</f>
        <v xml:space="preserve">tarnobrzeski </v>
      </c>
      <c r="D7" s="6">
        <f>INDEX('7do 30 r.ż.'!B3:G28,MATCH(4,B4:B29,0),2)</f>
        <v>369</v>
      </c>
      <c r="E7" s="61">
        <f>INDEX('7do 30 r.ż.'!B3:G28,MATCH(4,B4:B29,0),3)</f>
        <v>364</v>
      </c>
      <c r="F7" s="6">
        <f>INDEX('7do 30 r.ż.'!B3:G28,MATCH(4,B4:B29,0),4)</f>
        <v>5</v>
      </c>
      <c r="G7" s="61">
        <f>INDEX('7do 30 r.ż.'!B3:G28,MATCH(4,B4:B29,0),5)</f>
        <v>364</v>
      </c>
      <c r="H7" s="6">
        <f>INDEX('7do 30 r.ż.'!B3:G28,MATCH(4,B4:B29,0),6)</f>
        <v>5</v>
      </c>
    </row>
    <row r="8" spans="2:8" x14ac:dyDescent="0.2">
      <c r="B8" s="6">
        <f>RANK('7do 30 r.ż.'!C7,'7do 30 r.ż.'!$C$3:'7do 30 r.ż.'!$C$28,1)+COUNTIF('7do 30 r.ż.'!$C$3:'7do 30 r.ż.'!C7,'7do 30 r.ż.'!C7)-1</f>
        <v>25</v>
      </c>
      <c r="C8" s="5" t="str">
        <f>INDEX('7do 30 r.ż.'!B3:G28,MATCH(5,B4:B29,0),1)</f>
        <v>Przemyśl</v>
      </c>
      <c r="D8" s="6">
        <f>INDEX('7do 30 r.ż.'!B3:G28,MATCH(5,B4:B29,0),2)</f>
        <v>456</v>
      </c>
      <c r="E8" s="61">
        <f>INDEX('7do 30 r.ż.'!B3:G28,MATCH(5,B4:B29,0),3)</f>
        <v>453</v>
      </c>
      <c r="F8" s="6">
        <f>INDEX('7do 30 r.ż.'!B3:G28,MATCH(5,B4:B29,0),4)</f>
        <v>3</v>
      </c>
      <c r="G8" s="61">
        <f>INDEX('7do 30 r.ż.'!B3:G28,MATCH(5,B4:B29,0),5)</f>
        <v>459</v>
      </c>
      <c r="H8" s="6">
        <f>INDEX('7do 30 r.ż.'!B3:G28,MATCH(5,B4:B29,0),6)</f>
        <v>-3</v>
      </c>
    </row>
    <row r="9" spans="2:8" x14ac:dyDescent="0.2">
      <c r="B9" s="6">
        <f>RANK('7do 30 r.ż.'!C8,'7do 30 r.ż.'!$C$3:'7do 30 r.ż.'!$C$28,1)+COUNTIF('7do 30 r.ż.'!$C$3:'7do 30 r.ż.'!C8,'7do 30 r.ż.'!C8)-1</f>
        <v>7</v>
      </c>
      <c r="C9" s="5" t="str">
        <f>INDEX('7do 30 r.ż.'!B3:G28,MATCH(6,B4:B29,0),1)</f>
        <v>leski</v>
      </c>
      <c r="D9" s="6">
        <f>INDEX('7do 30 r.ż.'!B3:G28,MATCH(6,B4:B29,0),2)</f>
        <v>457</v>
      </c>
      <c r="E9" s="61">
        <f>INDEX('7do 30 r.ż.'!B3:G28,MATCH(6,B4:B29,0),3)</f>
        <v>444</v>
      </c>
      <c r="F9" s="6">
        <f>INDEX('7do 30 r.ż.'!B3:G28,MATCH(6,B4:B29,0),4)</f>
        <v>13</v>
      </c>
      <c r="G9" s="61">
        <f>INDEX('7do 30 r.ż.'!B3:G28,MATCH(6,B4:B29,0),5)</f>
        <v>478</v>
      </c>
      <c r="H9" s="6">
        <f>INDEX('7do 30 r.ż.'!B3:G28,MATCH(6,B4:B29,0),6)</f>
        <v>-21</v>
      </c>
    </row>
    <row r="10" spans="2:8" x14ac:dyDescent="0.2">
      <c r="B10" s="6">
        <f>RANK('7do 30 r.ż.'!C9,'7do 30 r.ż.'!$C$3:'7do 30 r.ż.'!$C$28,1)+COUNTIF('7do 30 r.ż.'!$C$3:'7do 30 r.ż.'!C9,'7do 30 r.ż.'!C9)-1</f>
        <v>10</v>
      </c>
      <c r="C10" s="9" t="str">
        <f>INDEX('7do 30 r.ż.'!B3:G28,MATCH(7,B4:B29,0),1)</f>
        <v>kolbuszowski</v>
      </c>
      <c r="D10" s="6">
        <f>INDEX('7do 30 r.ż.'!B3:G28,MATCH(7,B4:B29,0),2)</f>
        <v>458</v>
      </c>
      <c r="E10" s="61">
        <f>INDEX('7do 30 r.ż.'!B3:G28,MATCH(7,B4:B29,0),3)</f>
        <v>449</v>
      </c>
      <c r="F10" s="6">
        <f>INDEX('7do 30 r.ż.'!B3:G28,MATCH(7,B4:B29,0),4)</f>
        <v>9</v>
      </c>
      <c r="G10" s="61">
        <f>INDEX('7do 30 r.ż.'!B3:G28,MATCH(7,B4:B29,0),5)</f>
        <v>506</v>
      </c>
      <c r="H10" s="6">
        <f>INDEX('7do 30 r.ż.'!B3:G28,MATCH(7,B4:B29,0),6)</f>
        <v>-48</v>
      </c>
    </row>
    <row r="11" spans="2:8" x14ac:dyDescent="0.2">
      <c r="B11" s="6">
        <f>RANK('7do 30 r.ż.'!C10,'7do 30 r.ż.'!$C$3:'7do 30 r.ż.'!$C$28,1)+COUNTIF('7do 30 r.ż.'!$C$3:'7do 30 r.ż.'!C10,'7do 30 r.ż.'!C10)-1</f>
        <v>6</v>
      </c>
      <c r="C11" s="5" t="str">
        <f>INDEX('7do 30 r.ż.'!B3:G28,MATCH(8,B4:B29,0),1)</f>
        <v>lubaczowski</v>
      </c>
      <c r="D11" s="6">
        <f>INDEX('7do 30 r.ż.'!B3:G28,MATCH(8,B4:B29,0),2)</f>
        <v>545</v>
      </c>
      <c r="E11" s="61">
        <f>INDEX('7do 30 r.ż.'!B3:G28,MATCH(8,B4:B29,0),3)</f>
        <v>581</v>
      </c>
      <c r="F11" s="6">
        <f>INDEX('7do 30 r.ż.'!B3:G28,MATCH(8,B4:B29,0),4)</f>
        <v>-36</v>
      </c>
      <c r="G11" s="61">
        <f>INDEX('7do 30 r.ż.'!B3:G28,MATCH(8,B4:B29,0),5)</f>
        <v>563</v>
      </c>
      <c r="H11" s="6">
        <f>INDEX('7do 30 r.ż.'!B3:G28,MATCH(8,B4:B29,0),6)</f>
        <v>-18</v>
      </c>
    </row>
    <row r="12" spans="2:8" x14ac:dyDescent="0.2">
      <c r="B12" s="6">
        <f>RANK('7do 30 r.ż.'!C11,'7do 30 r.ż.'!$C$3:'7do 30 r.ż.'!$C$28,1)+COUNTIF('7do 30 r.ż.'!$C$3:'7do 30 r.ż.'!C11,'7do 30 r.ż.'!C11)-1</f>
        <v>20</v>
      </c>
      <c r="C12" s="5" t="str">
        <f>INDEX('7do 30 r.ż.'!B3:G28,MATCH(9,B4:B29,0),1)</f>
        <v>stalowowolski</v>
      </c>
      <c r="D12" s="6">
        <f>INDEX('7do 30 r.ż.'!B3:G28,MATCH(9,B4:B29,0),2)</f>
        <v>566</v>
      </c>
      <c r="E12" s="61">
        <f>INDEX('7do 30 r.ż.'!B3:G28,MATCH(9,B4:B29,0),3)</f>
        <v>565</v>
      </c>
      <c r="F12" s="6">
        <f>INDEX('7do 30 r.ż.'!B3:G28,MATCH(9,B4:B29,0),4)</f>
        <v>1</v>
      </c>
      <c r="G12" s="61">
        <f>INDEX('7do 30 r.ż.'!B3:G28,MATCH(9,B4:B29,0),5)</f>
        <v>528</v>
      </c>
      <c r="H12" s="6">
        <f>INDEX('7do 30 r.ż.'!B3:G28,MATCH(9,B4:B29,0),6)</f>
        <v>38</v>
      </c>
    </row>
    <row r="13" spans="2:8" x14ac:dyDescent="0.2">
      <c r="B13" s="6">
        <f>RANK('7do 30 r.ż.'!C12,'7do 30 r.ż.'!$C$3:'7do 30 r.ż.'!$C$28,1)+COUNTIF('7do 30 r.ż.'!$C$3:'7do 30 r.ż.'!C12,'7do 30 r.ż.'!C12)-1</f>
        <v>8</v>
      </c>
      <c r="C13" s="5" t="str">
        <f>INDEX('7do 30 r.ż.'!B3:G28,MATCH(10,B4:B29,0),1)</f>
        <v>krośnieński</v>
      </c>
      <c r="D13" s="6">
        <f>INDEX('7do 30 r.ż.'!B3:G28,MATCH(10,B4:B29,0),2)</f>
        <v>712</v>
      </c>
      <c r="E13" s="61">
        <f>INDEX('7do 30 r.ż.'!B3:G28,MATCH(10,B4:B29,0),3)</f>
        <v>691</v>
      </c>
      <c r="F13" s="6">
        <f>INDEX('7do 30 r.ż.'!B3:G28,MATCH(10,B4:B29,0),4)</f>
        <v>21</v>
      </c>
      <c r="G13" s="61">
        <f>INDEX('7do 30 r.ż.'!B3:G28,MATCH(10,B4:B29,0),5)</f>
        <v>586</v>
      </c>
      <c r="H13" s="6">
        <f>INDEX('7do 30 r.ż.'!B3:G28,MATCH(10,B4:B29,0),6)</f>
        <v>126</v>
      </c>
    </row>
    <row r="14" spans="2:8" x14ac:dyDescent="0.2">
      <c r="B14" s="6">
        <f>RANK('7do 30 r.ż.'!C13,'7do 30 r.ż.'!$C$3:'7do 30 r.ż.'!$C$28,1)+COUNTIF('7do 30 r.ż.'!$C$3:'7do 30 r.ż.'!C13,'7do 30 r.ż.'!C13)-1</f>
        <v>12</v>
      </c>
      <c r="C14" s="5" t="str">
        <f>INDEX('7do 30 r.ż.'!B3:G28,MATCH(11,B4:B29,0),1)</f>
        <v>dębicki</v>
      </c>
      <c r="D14" s="6">
        <f>INDEX('7do 30 r.ż.'!B3:G28,MATCH(11,B4:B29,0),2)</f>
        <v>750</v>
      </c>
      <c r="E14" s="61">
        <f>INDEX('7do 30 r.ż.'!B3:G28,MATCH(11,B4:B29,0),3)</f>
        <v>761</v>
      </c>
      <c r="F14" s="6">
        <f>INDEX('7do 30 r.ż.'!B3:G28,MATCH(11,B4:B29,0),4)</f>
        <v>-11</v>
      </c>
      <c r="G14" s="61">
        <f>INDEX('7do 30 r.ż.'!B3:G28,MATCH(11,B4:B29,0),5)</f>
        <v>807</v>
      </c>
      <c r="H14" s="6">
        <f>INDEX('7do 30 r.ż.'!B3:G28,MATCH(11,B4:B29,0),6)</f>
        <v>-57</v>
      </c>
    </row>
    <row r="15" spans="2:8" x14ac:dyDescent="0.2">
      <c r="B15" s="6">
        <f>RANK('7do 30 r.ż.'!C14,'7do 30 r.ż.'!$C$3:'7do 30 r.ż.'!$C$28,1)+COUNTIF('7do 30 r.ż.'!$C$3:'7do 30 r.ż.'!C14,'7do 30 r.ż.'!C14)-1</f>
        <v>14</v>
      </c>
      <c r="C15" s="5" t="str">
        <f>INDEX('7do 30 r.ż.'!B3:G28,MATCH(12,B4:B29,0),1)</f>
        <v>łańcucki</v>
      </c>
      <c r="D15" s="6">
        <f>INDEX('7do 30 r.ż.'!B3:G28,MATCH(12,B4:B29,0),2)</f>
        <v>774</v>
      </c>
      <c r="E15" s="61">
        <f>INDEX('7do 30 r.ż.'!B3:G28,MATCH(12,B4:B29,0),3)</f>
        <v>801</v>
      </c>
      <c r="F15" s="6">
        <f>INDEX('7do 30 r.ż.'!B3:G28,MATCH(12,B4:B29,0),4)</f>
        <v>-27</v>
      </c>
      <c r="G15" s="61">
        <f>INDEX('7do 30 r.ż.'!B3:G28,MATCH(12,B4:B29,0),5)</f>
        <v>832</v>
      </c>
      <c r="H15" s="6">
        <f>INDEX('7do 30 r.ż.'!B3:G28,MATCH(12,B4:B29,0),6)</f>
        <v>-58</v>
      </c>
    </row>
    <row r="16" spans="2:8" x14ac:dyDescent="0.2">
      <c r="B16" s="6">
        <f>RANK('7do 30 r.ż.'!C15,'7do 30 r.ż.'!$C$3:'7do 30 r.ż.'!$C$28,1)+COUNTIF('7do 30 r.ż.'!$C$3:'7do 30 r.ż.'!C15,'7do 30 r.ż.'!C15)-1</f>
        <v>16</v>
      </c>
      <c r="C16" s="5" t="str">
        <f>INDEX('7do 30 r.ż.'!B3:G28,MATCH(13,B4:B29,0),1)</f>
        <v>sanocki</v>
      </c>
      <c r="D16" s="6">
        <f>INDEX('7do 30 r.ż.'!B3:G28,MATCH(13,B4:B29,0),2)</f>
        <v>808</v>
      </c>
      <c r="E16" s="61">
        <f>INDEX('7do 30 r.ż.'!B3:G28,MATCH(13,B4:B29,0),3)</f>
        <v>801</v>
      </c>
      <c r="F16" s="6">
        <f>INDEX('7do 30 r.ż.'!B3:G28,MATCH(13,B4:B29,0),4)</f>
        <v>7</v>
      </c>
      <c r="G16" s="61">
        <f>INDEX('7do 30 r.ż.'!B3:G28,MATCH(13,B4:B29,0),5)</f>
        <v>794</v>
      </c>
      <c r="H16" s="6">
        <f>INDEX('7do 30 r.ż.'!B3:G28,MATCH(13,B4:B29,0),6)</f>
        <v>14</v>
      </c>
    </row>
    <row r="17" spans="2:8" x14ac:dyDescent="0.2">
      <c r="B17" s="6">
        <f>RANK('7do 30 r.ż.'!C16,'7do 30 r.ż.'!$C$3:'7do 30 r.ż.'!$C$28,1)+COUNTIF('7do 30 r.ż.'!$C$3:'7do 30 r.ż.'!C16,'7do 30 r.ż.'!C16)-1</f>
        <v>17</v>
      </c>
      <c r="C17" s="5" t="str">
        <f>INDEX('7do 30 r.ż.'!B3:G28,MATCH(14,B4:B29,0),1)</f>
        <v>mielecki</v>
      </c>
      <c r="D17" s="6">
        <f>INDEX('7do 30 r.ż.'!B3:G28,MATCH(14,B4:B29,0),2)</f>
        <v>818</v>
      </c>
      <c r="E17" s="61">
        <f>INDEX('7do 30 r.ż.'!B3:G28,MATCH(14,B4:B29,0),3)</f>
        <v>815</v>
      </c>
      <c r="F17" s="6">
        <f>INDEX('7do 30 r.ż.'!B3:G28,MATCH(14,B4:B29,0),4)</f>
        <v>3</v>
      </c>
      <c r="G17" s="61">
        <f>INDEX('7do 30 r.ż.'!B3:G28,MATCH(14,B4:B29,0),5)</f>
        <v>734</v>
      </c>
      <c r="H17" s="6">
        <f>INDEX('7do 30 r.ż.'!B3:G28,MATCH(14,B4:B29,0),6)</f>
        <v>84</v>
      </c>
    </row>
    <row r="18" spans="2:8" x14ac:dyDescent="0.2">
      <c r="B18" s="6">
        <f>RANK('7do 30 r.ż.'!C17,'7do 30 r.ż.'!$C$3:'7do 30 r.ż.'!$C$28,1)+COUNTIF('7do 30 r.ż.'!$C$3:'7do 30 r.ż.'!C17,'7do 30 r.ż.'!C17)-1</f>
        <v>19</v>
      </c>
      <c r="C18" s="5" t="str">
        <f>INDEX('7do 30 r.ż.'!B3:G28,MATCH(15,B4:B29,0),1)</f>
        <v>ropczycko-sędziszowski</v>
      </c>
      <c r="D18" s="6">
        <f>INDEX('7do 30 r.ż.'!B3:G28,MATCH(15,B4:B29,0),2)</f>
        <v>820</v>
      </c>
      <c r="E18" s="61">
        <f>INDEX('7do 30 r.ż.'!B3:G28,MATCH(15,B4:B29,0),3)</f>
        <v>816</v>
      </c>
      <c r="F18" s="6">
        <f>INDEX('7do 30 r.ż.'!B3:G28,MATCH(15,B4:B29,0),4)</f>
        <v>4</v>
      </c>
      <c r="G18" s="61">
        <f>INDEX('7do 30 r.ż.'!B3:G28,MATCH(15,B4:B29,0),5)</f>
        <v>797</v>
      </c>
      <c r="H18" s="6">
        <f>INDEX('7do 30 r.ż.'!B3:G28,MATCH(15,B4:B29,0),6)</f>
        <v>23</v>
      </c>
    </row>
    <row r="19" spans="2:8" x14ac:dyDescent="0.2">
      <c r="B19" s="6">
        <f>RANK('7do 30 r.ż.'!C18,'7do 30 r.ż.'!$C$3:'7do 30 r.ż.'!$C$28,1)+COUNTIF('7do 30 r.ż.'!$C$3:'7do 30 r.ż.'!C18,'7do 30 r.ż.'!C18)-1</f>
        <v>15</v>
      </c>
      <c r="C19" s="5" t="str">
        <f>INDEX('7do 30 r.ż.'!B3:G28,MATCH(16,B4:B29,0),1)</f>
        <v>niżański</v>
      </c>
      <c r="D19" s="6">
        <f>INDEX('7do 30 r.ż.'!B3:G28,MATCH(16,B4:B29,0),2)</f>
        <v>844</v>
      </c>
      <c r="E19" s="61">
        <f>INDEX('7do 30 r.ż.'!B3:G28,MATCH(16,B4:B29,0),3)</f>
        <v>896</v>
      </c>
      <c r="F19" s="6">
        <f>INDEX('7do 30 r.ż.'!B3:G28,MATCH(16,B4:B29,0),4)</f>
        <v>-52</v>
      </c>
      <c r="G19" s="61">
        <f>INDEX('7do 30 r.ż.'!B3:G28,MATCH(16,B4:B29,0),5)</f>
        <v>883</v>
      </c>
      <c r="H19" s="6">
        <f>INDEX('7do 30 r.ż.'!B3:G28,MATCH(16,B4:B29,0),6)</f>
        <v>-39</v>
      </c>
    </row>
    <row r="20" spans="2:8" x14ac:dyDescent="0.2">
      <c r="B20" s="6">
        <f>RANK('7do 30 r.ż.'!C19,'7do 30 r.ż.'!$C$3:'7do 30 r.ż.'!$C$28,1)+COUNTIF('7do 30 r.ż.'!$C$3:'7do 30 r.ż.'!C19,'7do 30 r.ż.'!C19)-1</f>
        <v>24</v>
      </c>
      <c r="C20" s="5" t="str">
        <f>INDEX('7do 30 r.ż.'!B3:G28,MATCH(17,B4:B29,0),1)</f>
        <v>przemyski</v>
      </c>
      <c r="D20" s="6">
        <f>INDEX('7do 30 r.ż.'!B3:G28,MATCH(17,B4:B29,0),2)</f>
        <v>863</v>
      </c>
      <c r="E20" s="61">
        <f>INDEX('7do 30 r.ż.'!B3:G28,MATCH(17,B4:B29,0),3)</f>
        <v>879</v>
      </c>
      <c r="F20" s="6">
        <f>INDEX('7do 30 r.ż.'!B3:G28,MATCH(17,B4:B29,0),4)</f>
        <v>-16</v>
      </c>
      <c r="G20" s="61">
        <f>INDEX('7do 30 r.ż.'!B3:G28,MATCH(17,B4:B29,0),5)</f>
        <v>851</v>
      </c>
      <c r="H20" s="6">
        <f>INDEX('7do 30 r.ż.'!B3:G28,MATCH(17,B4:B29,0),6)</f>
        <v>12</v>
      </c>
    </row>
    <row r="21" spans="2:8" x14ac:dyDescent="0.2">
      <c r="B21" s="6">
        <f>RANK('7do 30 r.ż.'!C20,'7do 30 r.ż.'!$C$3:'7do 30 r.ż.'!$C$28,1)+COUNTIF('7do 30 r.ż.'!$C$3:'7do 30 r.ż.'!C20,'7do 30 r.ż.'!C20)-1</f>
        <v>13</v>
      </c>
      <c r="C21" s="5" t="str">
        <f>INDEX('7do 30 r.ż.'!B3:G28,MATCH(18,B4:B29,0),1)</f>
        <v>strzyżowski</v>
      </c>
      <c r="D21" s="6">
        <f>INDEX('7do 30 r.ż.'!B3:G28,MATCH(18,B4:B29,0),2)</f>
        <v>898</v>
      </c>
      <c r="E21" s="61">
        <f>INDEX('7do 30 r.ż.'!B3:G28,MATCH(18,B4:B29,0),3)</f>
        <v>923</v>
      </c>
      <c r="F21" s="6">
        <f>INDEX('7do 30 r.ż.'!B3:G28,MATCH(18,B4:B29,0),4)</f>
        <v>-25</v>
      </c>
      <c r="G21" s="61">
        <f>INDEX('7do 30 r.ż.'!B3:G28,MATCH(18,B4:B29,0),5)</f>
        <v>947</v>
      </c>
      <c r="H21" s="6">
        <f>INDEX('7do 30 r.ż.'!B3:G28,MATCH(18,B4:B29,0),6)</f>
        <v>-49</v>
      </c>
    </row>
    <row r="22" spans="2:8" x14ac:dyDescent="0.2">
      <c r="B22" s="6">
        <f>RANK('7do 30 r.ż.'!C21,'7do 30 r.ż.'!$C$3:'7do 30 r.ż.'!$C$28,1)+COUNTIF('7do 30 r.ż.'!$C$3:'7do 30 r.ż.'!C21,'7do 30 r.ż.'!C21)-1</f>
        <v>9</v>
      </c>
      <c r="C22" s="5" t="str">
        <f>INDEX('7do 30 r.ż.'!B3:G28,MATCH(19,B4:B29,0),1)</f>
        <v>przeworski</v>
      </c>
      <c r="D22" s="6">
        <f>INDEX('7do 30 r.ż.'!B3:G28,MATCH(19,B4:B29,0),2)</f>
        <v>928</v>
      </c>
      <c r="E22" s="61">
        <f>INDEX('7do 30 r.ż.'!B3:G28,MATCH(19,B4:B29,0),3)</f>
        <v>959</v>
      </c>
      <c r="F22" s="6">
        <f>INDEX('7do 30 r.ż.'!B3:G28,MATCH(19,B4:B29,0),4)</f>
        <v>-31</v>
      </c>
      <c r="G22" s="61">
        <f>INDEX('7do 30 r.ż.'!B3:G28,MATCH(19,B4:B29,0),5)</f>
        <v>1000</v>
      </c>
      <c r="H22" s="6">
        <f>INDEX('7do 30 r.ż.'!B3:G28,MATCH(19,B4:B29,0),6)</f>
        <v>-72</v>
      </c>
    </row>
    <row r="23" spans="2:8" x14ac:dyDescent="0.2">
      <c r="B23" s="6">
        <f>RANK('7do 30 r.ż.'!C22,'7do 30 r.ż.'!$C$3:'7do 30 r.ż.'!$C$28,1)+COUNTIF('7do 30 r.ż.'!$C$3:'7do 30 r.ż.'!C22,'7do 30 r.ż.'!C22)-1</f>
        <v>18</v>
      </c>
      <c r="C23" s="5" t="str">
        <f>INDEX('7do 30 r.ż.'!B3:G28,MATCH(20,B4:B29,0),1)</f>
        <v>leżajski</v>
      </c>
      <c r="D23" s="6">
        <f>INDEX('7do 30 r.ż.'!B3:G28,MATCH(20,B4:B29,0),2)</f>
        <v>930</v>
      </c>
      <c r="E23" s="61">
        <f>INDEX('7do 30 r.ż.'!B3:G28,MATCH(20,B4:B29,0),3)</f>
        <v>945</v>
      </c>
      <c r="F23" s="6">
        <f>INDEX('7do 30 r.ż.'!B3:G28,MATCH(20,B4:B29,0),4)</f>
        <v>-15</v>
      </c>
      <c r="G23" s="61">
        <f>INDEX('7do 30 r.ż.'!B3:G28,MATCH(20,B4:B29,0),5)</f>
        <v>941</v>
      </c>
      <c r="H23" s="6">
        <f>INDEX('7do 30 r.ż.'!B3:G28,MATCH(20,B4:B29,0),6)</f>
        <v>-11</v>
      </c>
    </row>
    <row r="24" spans="2:8" x14ac:dyDescent="0.2">
      <c r="B24" s="6">
        <f>RANK('7do 30 r.ż.'!C23,'7do 30 r.ż.'!$C$3:'7do 30 r.ż.'!$C$28,1)+COUNTIF('7do 30 r.ż.'!$C$3:'7do 30 r.ż.'!C23,'7do 30 r.ż.'!C23)-1</f>
        <v>4</v>
      </c>
      <c r="C24" s="5" t="str">
        <f>INDEX('7do 30 r.ż.'!B3:G28,MATCH(21,B4:B29,0),1)</f>
        <v>Rzeszów</v>
      </c>
      <c r="D24" s="6">
        <f>INDEX('7do 30 r.ż.'!B3:G28,MATCH(21,B4:B29,0),2)</f>
        <v>972</v>
      </c>
      <c r="E24" s="61">
        <f>INDEX('7do 30 r.ż.'!B3:G28,MATCH(21,B4:B29,0),3)</f>
        <v>942</v>
      </c>
      <c r="F24" s="6">
        <f>INDEX('7do 30 r.ż.'!B3:G28,MATCH(21,B4:B29,0),4)</f>
        <v>30</v>
      </c>
      <c r="G24" s="61">
        <f>INDEX('7do 30 r.ż.'!B3:G28,MATCH(21,B4:B29,0),5)</f>
        <v>1000</v>
      </c>
      <c r="H24" s="6">
        <f>INDEX('7do 30 r.ż.'!B3:G28,MATCH(21,B4:B29,0),6)</f>
        <v>-28</v>
      </c>
    </row>
    <row r="25" spans="2:8" x14ac:dyDescent="0.2">
      <c r="B25" s="6">
        <f>RANK('7do 30 r.ż.'!C24,'7do 30 r.ż.'!$C$3:'7do 30 r.ż.'!$C$28,1)+COUNTIF('7do 30 r.ż.'!$C$3:'7do 30 r.ż.'!C24,'7do 30 r.ż.'!C24)-1</f>
        <v>1</v>
      </c>
      <c r="C25" s="5" t="str">
        <f>INDEX('7do 30 r.ż.'!B3:G28,MATCH(22,B4:B29,0),1)</f>
        <v>brzozowski</v>
      </c>
      <c r="D25" s="6">
        <f>INDEX('7do 30 r.ż.'!B3:G28,MATCH(22,B4:B29,0),2)</f>
        <v>1053</v>
      </c>
      <c r="E25" s="61">
        <f>INDEX('7do 30 r.ż.'!B3:G28,MATCH(22,B4:B29,0),3)</f>
        <v>1067</v>
      </c>
      <c r="F25" s="6">
        <f>INDEX('7do 30 r.ż.'!B3:G28,MATCH(22,B4:B29,0),4)</f>
        <v>-14</v>
      </c>
      <c r="G25" s="61">
        <f>INDEX('7do 30 r.ż.'!B3:G28,MATCH(22,B4:B29,0),5)</f>
        <v>1058</v>
      </c>
      <c r="H25" s="6">
        <f>INDEX('7do 30 r.ż.'!B3:G28,MATCH(22,B4:B29,0),6)</f>
        <v>-5</v>
      </c>
    </row>
    <row r="26" spans="2:8" x14ac:dyDescent="0.2">
      <c r="B26" s="6">
        <f>RANK('7do 30 r.ż.'!C25,'7do 30 r.ż.'!$C$3:'7do 30 r.ż.'!$C$28,1)+COUNTIF('7do 30 r.ż.'!$C$3:'7do 30 r.ż.'!C25,'7do 30 r.ż.'!C25)-1</f>
        <v>5</v>
      </c>
      <c r="C26" s="5" t="str">
        <f>INDEX('7do 30 r.ż.'!B3:G28,MATCH(23,B4:B29,0),1)</f>
        <v>jarosławski</v>
      </c>
      <c r="D26" s="6">
        <f>INDEX('7do 30 r.ż.'!B3:G28,MATCH(23,B4:B29,0),2)</f>
        <v>1228</v>
      </c>
      <c r="E26" s="61">
        <f>INDEX('7do 30 r.ż.'!B3:G28,MATCH(23,B4:B29,0),3)</f>
        <v>1247</v>
      </c>
      <c r="F26" s="6">
        <f>INDEX('7do 30 r.ż.'!B3:G28,MATCH(23,B4:B29,0),4)</f>
        <v>-19</v>
      </c>
      <c r="G26" s="61">
        <f>INDEX('7do 30 r.ż.'!B3:G28,MATCH(23,B4:B29,0),5)</f>
        <v>1324</v>
      </c>
      <c r="H26" s="6">
        <f>INDEX('7do 30 r.ż.'!B3:G28,MATCH(23,B4:B29,0),6)</f>
        <v>-96</v>
      </c>
    </row>
    <row r="27" spans="2:8" x14ac:dyDescent="0.2">
      <c r="B27" s="6">
        <f>RANK('7do 30 r.ż.'!C26,'7do 30 r.ż.'!$C$3:'7do 30 r.ż.'!$C$28,1)+COUNTIF('7do 30 r.ż.'!$C$3:'7do 30 r.ż.'!C26,'7do 30 r.ż.'!C26)-1</f>
        <v>21</v>
      </c>
      <c r="C27" s="5" t="str">
        <f>INDEX('7do 30 r.ż.'!B3:G28,MATCH(24,B4:B29,0),1)</f>
        <v>rzeszowski</v>
      </c>
      <c r="D27" s="6">
        <f>INDEX('7do 30 r.ż.'!B3:G28,MATCH(24,B4:B29,0),2)</f>
        <v>1306</v>
      </c>
      <c r="E27" s="61">
        <f>INDEX('7do 30 r.ż.'!B3:G28,MATCH(24,B4:B29,0),3)</f>
        <v>1297</v>
      </c>
      <c r="F27" s="6">
        <f>INDEX('7do 30 r.ż.'!B3:G28,MATCH(24,B4:B29,0),4)</f>
        <v>9</v>
      </c>
      <c r="G27" s="61">
        <f>INDEX('7do 30 r.ż.'!B3:G28,MATCH(24,B4:B29,0),5)</f>
        <v>1317</v>
      </c>
      <c r="H27" s="6">
        <f>INDEX('7do 30 r.ż.'!B3:G28,MATCH(24,B4:B29,0),6)</f>
        <v>-11</v>
      </c>
    </row>
    <row r="28" spans="2:8" x14ac:dyDescent="0.2">
      <c r="B28" s="6">
        <f>RANK('7do 30 r.ż.'!C27,'7do 30 r.ż.'!$C$3:'7do 30 r.ż.'!$C$28,1)+COUNTIF('7do 30 r.ż.'!$C$3:'7do 30 r.ż.'!C27,'7do 30 r.ż.'!C27)-1</f>
        <v>2</v>
      </c>
      <c r="C28" s="5" t="str">
        <f>INDEX('7do 30 r.ż.'!B3:G28,MATCH(25,B4:B29,0),1)</f>
        <v>jasielski</v>
      </c>
      <c r="D28" s="6">
        <f>INDEX('7do 30 r.ż.'!B3:G28,MATCH(25,B4:B29,0),2)</f>
        <v>1373</v>
      </c>
      <c r="E28" s="61">
        <f>INDEX('7do 30 r.ż.'!B3:G28,MATCH(25,B4:B29,0),3)</f>
        <v>1456</v>
      </c>
      <c r="F28" s="6">
        <f>INDEX('7do 30 r.ż.'!B3:G28,MATCH(25,B4:B29,0),4)</f>
        <v>-83</v>
      </c>
      <c r="G28" s="61">
        <f>INDEX('7do 30 r.ż.'!B3:G28,MATCH(25,B4:B29,0),5)</f>
        <v>1340</v>
      </c>
      <c r="H28" s="6">
        <f>INDEX('7do 30 r.ż.'!B3:G28,MATCH(25,B4:B29,0),6)</f>
        <v>33</v>
      </c>
    </row>
    <row r="29" spans="2:8" ht="15" x14ac:dyDescent="0.25">
      <c r="B29" s="59">
        <f>RANK('7do 30 r.ż.'!C28,'7do 30 r.ż.'!$C$3:'7do 30 r.ż.'!$C$28,1)+COUNTIF('7do 30 r.ż.'!$C$3:'7do 30 r.ż.'!C28,'7do 30 r.ż.'!C28)-1</f>
        <v>26</v>
      </c>
      <c r="C29" s="58" t="str">
        <f>INDEX('7do 30 r.ż.'!B3:G28,MATCH(26,B4:B29,0),1)</f>
        <v>województwo</v>
      </c>
      <c r="D29" s="59">
        <f>INDEX('7do 30 r.ż.'!B3:G28,MATCH(26,B4:B29,0),2)</f>
        <v>18642</v>
      </c>
      <c r="E29" s="63">
        <f>INDEX('7do 30 r.ż.'!B3:G28,MATCH(26,B4:B29,0),3)</f>
        <v>18870</v>
      </c>
      <c r="F29" s="59">
        <f>INDEX('7do 30 r.ż.'!B3:G28,MATCH(26,B4:B29,0),4)</f>
        <v>-228</v>
      </c>
      <c r="G29" s="63">
        <f>INDEX('7do 30 r.ż.'!B3:G28,MATCH(26,B4:B29,0),5)</f>
        <v>18800</v>
      </c>
      <c r="H29" s="59">
        <f>INDEX('7do 30 r.ż.'!B3:G28,MATCH(26,B4:B29,0),6)</f>
        <v>-158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7109375" style="3" customWidth="1"/>
    <col min="3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3" width="0" style="3" hidden="1" customWidth="1"/>
    <col min="14" max="16384" width="9.140625" style="3"/>
  </cols>
  <sheetData>
    <row r="1" spans="2:8" ht="17.25" customHeight="1" x14ac:dyDescent="0.2">
      <c r="B1" s="1" t="s">
        <v>82</v>
      </c>
      <c r="C1" s="46"/>
      <c r="D1" s="46"/>
      <c r="E1" s="46"/>
      <c r="F1" s="46"/>
      <c r="G1" s="46"/>
    </row>
    <row r="2" spans="2:8" ht="57.75" x14ac:dyDescent="0.2">
      <c r="B2" s="55" t="s">
        <v>27</v>
      </c>
      <c r="C2" s="56" t="s">
        <v>158</v>
      </c>
      <c r="D2" s="57" t="s">
        <v>157</v>
      </c>
      <c r="E2" s="56" t="s">
        <v>28</v>
      </c>
      <c r="F2" s="57" t="s">
        <v>159</v>
      </c>
      <c r="G2" s="56" t="s">
        <v>26</v>
      </c>
    </row>
    <row r="3" spans="2:8" x14ac:dyDescent="0.2">
      <c r="B3" s="5" t="s">
        <v>0</v>
      </c>
      <c r="C3" s="45">
        <v>247</v>
      </c>
      <c r="D3" s="61">
        <v>253</v>
      </c>
      <c r="E3" s="45">
        <f t="shared" ref="E3:E27" si="0">SUM(C3)-D3</f>
        <v>-6</v>
      </c>
      <c r="F3" s="61">
        <v>280</v>
      </c>
      <c r="G3" s="45">
        <f t="shared" ref="G3:G27" si="1">SUM(C3)-F3</f>
        <v>-33</v>
      </c>
      <c r="H3" s="7"/>
    </row>
    <row r="4" spans="2:8" x14ac:dyDescent="0.2">
      <c r="B4" s="5" t="s">
        <v>1</v>
      </c>
      <c r="C4" s="45">
        <v>991</v>
      </c>
      <c r="D4" s="61">
        <v>978</v>
      </c>
      <c r="E4" s="45">
        <f t="shared" si="0"/>
        <v>13</v>
      </c>
      <c r="F4" s="61">
        <v>1025</v>
      </c>
      <c r="G4" s="45">
        <f t="shared" si="1"/>
        <v>-34</v>
      </c>
      <c r="H4" s="7"/>
    </row>
    <row r="5" spans="2:8" x14ac:dyDescent="0.2">
      <c r="B5" s="5" t="s">
        <v>2</v>
      </c>
      <c r="C5" s="45">
        <v>607</v>
      </c>
      <c r="D5" s="61">
        <v>604</v>
      </c>
      <c r="E5" s="45">
        <f t="shared" si="0"/>
        <v>3</v>
      </c>
      <c r="F5" s="61">
        <v>610</v>
      </c>
      <c r="G5" s="45">
        <f t="shared" si="1"/>
        <v>-3</v>
      </c>
      <c r="H5" s="7"/>
    </row>
    <row r="6" spans="2:8" x14ac:dyDescent="0.2">
      <c r="B6" s="5" t="s">
        <v>3</v>
      </c>
      <c r="C6" s="45">
        <v>1085</v>
      </c>
      <c r="D6" s="61">
        <v>1088</v>
      </c>
      <c r="E6" s="45">
        <f t="shared" si="0"/>
        <v>-3</v>
      </c>
      <c r="F6" s="61">
        <v>1153</v>
      </c>
      <c r="G6" s="45">
        <f t="shared" si="1"/>
        <v>-68</v>
      </c>
      <c r="H6" s="7"/>
    </row>
    <row r="7" spans="2:8" x14ac:dyDescent="0.2">
      <c r="B7" s="5" t="s">
        <v>4</v>
      </c>
      <c r="C7" s="45">
        <v>1206</v>
      </c>
      <c r="D7" s="61">
        <v>1212</v>
      </c>
      <c r="E7" s="45">
        <f t="shared" si="0"/>
        <v>-6</v>
      </c>
      <c r="F7" s="61">
        <v>1185</v>
      </c>
      <c r="G7" s="45">
        <f t="shared" si="1"/>
        <v>21</v>
      </c>
      <c r="H7" s="7"/>
    </row>
    <row r="8" spans="2:8" x14ac:dyDescent="0.2">
      <c r="B8" s="5" t="s">
        <v>5</v>
      </c>
      <c r="C8" s="45">
        <v>421</v>
      </c>
      <c r="D8" s="61">
        <v>416</v>
      </c>
      <c r="E8" s="45">
        <f t="shared" si="0"/>
        <v>5</v>
      </c>
      <c r="F8" s="61">
        <v>456</v>
      </c>
      <c r="G8" s="45">
        <f t="shared" si="1"/>
        <v>-35</v>
      </c>
      <c r="H8" s="7"/>
    </row>
    <row r="9" spans="2:8" x14ac:dyDescent="0.2">
      <c r="B9" s="9" t="s">
        <v>6</v>
      </c>
      <c r="C9" s="45">
        <v>625</v>
      </c>
      <c r="D9" s="61">
        <v>612</v>
      </c>
      <c r="E9" s="45">
        <f t="shared" si="0"/>
        <v>13</v>
      </c>
      <c r="F9" s="61">
        <v>579</v>
      </c>
      <c r="G9" s="45">
        <f t="shared" si="1"/>
        <v>46</v>
      </c>
      <c r="H9" s="7"/>
    </row>
    <row r="10" spans="2:8" x14ac:dyDescent="0.2">
      <c r="B10" s="5" t="s">
        <v>7</v>
      </c>
      <c r="C10" s="45">
        <v>452</v>
      </c>
      <c r="D10" s="61">
        <v>450</v>
      </c>
      <c r="E10" s="45">
        <f t="shared" si="0"/>
        <v>2</v>
      </c>
      <c r="F10" s="61">
        <v>447</v>
      </c>
      <c r="G10" s="45">
        <f t="shared" si="1"/>
        <v>5</v>
      </c>
      <c r="H10" s="7"/>
    </row>
    <row r="11" spans="2:8" x14ac:dyDescent="0.2">
      <c r="B11" s="5" t="s">
        <v>8</v>
      </c>
      <c r="C11" s="45">
        <v>781</v>
      </c>
      <c r="D11" s="61">
        <v>772</v>
      </c>
      <c r="E11" s="45">
        <f t="shared" si="0"/>
        <v>9</v>
      </c>
      <c r="F11" s="61">
        <v>771</v>
      </c>
      <c r="G11" s="45">
        <f t="shared" si="1"/>
        <v>10</v>
      </c>
      <c r="H11" s="7"/>
    </row>
    <row r="12" spans="2:8" x14ac:dyDescent="0.2">
      <c r="B12" s="5" t="s">
        <v>9</v>
      </c>
      <c r="C12" s="45">
        <v>526</v>
      </c>
      <c r="D12" s="61">
        <v>539</v>
      </c>
      <c r="E12" s="45">
        <f t="shared" si="0"/>
        <v>-13</v>
      </c>
      <c r="F12" s="61">
        <v>523</v>
      </c>
      <c r="G12" s="45">
        <f t="shared" si="1"/>
        <v>3</v>
      </c>
      <c r="H12" s="7"/>
    </row>
    <row r="13" spans="2:8" x14ac:dyDescent="0.2">
      <c r="B13" s="5" t="s">
        <v>10</v>
      </c>
      <c r="C13" s="45">
        <v>611</v>
      </c>
      <c r="D13" s="61">
        <v>608</v>
      </c>
      <c r="E13" s="45">
        <f t="shared" si="0"/>
        <v>3</v>
      </c>
      <c r="F13" s="61">
        <v>658</v>
      </c>
      <c r="G13" s="45">
        <f t="shared" si="1"/>
        <v>-47</v>
      </c>
      <c r="H13" s="7"/>
    </row>
    <row r="14" spans="2:8" x14ac:dyDescent="0.2">
      <c r="B14" s="5" t="s">
        <v>11</v>
      </c>
      <c r="C14" s="45">
        <v>749</v>
      </c>
      <c r="D14" s="61">
        <v>746</v>
      </c>
      <c r="E14" s="45">
        <f t="shared" si="0"/>
        <v>3</v>
      </c>
      <c r="F14" s="61">
        <v>716</v>
      </c>
      <c r="G14" s="45">
        <f t="shared" si="1"/>
        <v>33</v>
      </c>
      <c r="H14" s="7"/>
    </row>
    <row r="15" spans="2:8" x14ac:dyDescent="0.2">
      <c r="B15" s="5" t="s">
        <v>12</v>
      </c>
      <c r="C15" s="45">
        <v>726</v>
      </c>
      <c r="D15" s="61">
        <v>744</v>
      </c>
      <c r="E15" s="45">
        <f t="shared" si="0"/>
        <v>-18</v>
      </c>
      <c r="F15" s="61">
        <v>793</v>
      </c>
      <c r="G15" s="45">
        <f t="shared" si="1"/>
        <v>-67</v>
      </c>
      <c r="H15" s="7"/>
    </row>
    <row r="16" spans="2:8" x14ac:dyDescent="0.2">
      <c r="B16" s="5" t="s">
        <v>13</v>
      </c>
      <c r="C16" s="45">
        <v>761</v>
      </c>
      <c r="D16" s="61">
        <v>768</v>
      </c>
      <c r="E16" s="45">
        <f t="shared" si="0"/>
        <v>-7</v>
      </c>
      <c r="F16" s="61">
        <v>771</v>
      </c>
      <c r="G16" s="45">
        <f t="shared" si="1"/>
        <v>-10</v>
      </c>
      <c r="H16" s="7"/>
    </row>
    <row r="17" spans="2:8" x14ac:dyDescent="0.2">
      <c r="B17" s="5" t="s">
        <v>14</v>
      </c>
      <c r="C17" s="45">
        <v>747</v>
      </c>
      <c r="D17" s="61">
        <v>741</v>
      </c>
      <c r="E17" s="45">
        <f t="shared" si="0"/>
        <v>6</v>
      </c>
      <c r="F17" s="61">
        <v>738</v>
      </c>
      <c r="G17" s="45">
        <f t="shared" si="1"/>
        <v>9</v>
      </c>
      <c r="H17" s="7"/>
    </row>
    <row r="18" spans="2:8" x14ac:dyDescent="0.2">
      <c r="B18" s="5" t="s">
        <v>15</v>
      </c>
      <c r="C18" s="45">
        <v>595</v>
      </c>
      <c r="D18" s="61">
        <v>625</v>
      </c>
      <c r="E18" s="45">
        <f t="shared" si="0"/>
        <v>-30</v>
      </c>
      <c r="F18" s="61">
        <v>647</v>
      </c>
      <c r="G18" s="45">
        <f t="shared" si="1"/>
        <v>-52</v>
      </c>
      <c r="H18" s="7"/>
    </row>
    <row r="19" spans="2:8" x14ac:dyDescent="0.2">
      <c r="B19" s="5" t="s">
        <v>16</v>
      </c>
      <c r="C19" s="45">
        <v>1154</v>
      </c>
      <c r="D19" s="61">
        <v>1155</v>
      </c>
      <c r="E19" s="45">
        <f t="shared" si="0"/>
        <v>-1</v>
      </c>
      <c r="F19" s="61">
        <v>1297</v>
      </c>
      <c r="G19" s="45">
        <f t="shared" si="1"/>
        <v>-143</v>
      </c>
      <c r="H19" s="7"/>
    </row>
    <row r="20" spans="2:8" x14ac:dyDescent="0.2">
      <c r="B20" s="5" t="s">
        <v>17</v>
      </c>
      <c r="C20" s="45">
        <v>651</v>
      </c>
      <c r="D20" s="61">
        <v>654</v>
      </c>
      <c r="E20" s="45">
        <f t="shared" si="0"/>
        <v>-3</v>
      </c>
      <c r="F20" s="61">
        <v>650</v>
      </c>
      <c r="G20" s="45">
        <f t="shared" si="1"/>
        <v>1</v>
      </c>
      <c r="H20" s="7"/>
    </row>
    <row r="21" spans="2:8" x14ac:dyDescent="0.2">
      <c r="B21" s="5" t="s">
        <v>18</v>
      </c>
      <c r="C21" s="45">
        <v>521</v>
      </c>
      <c r="D21" s="61">
        <v>522</v>
      </c>
      <c r="E21" s="45">
        <f t="shared" si="0"/>
        <v>-1</v>
      </c>
      <c r="F21" s="61">
        <v>544</v>
      </c>
      <c r="G21" s="45">
        <f t="shared" si="1"/>
        <v>-23</v>
      </c>
      <c r="H21" s="7"/>
    </row>
    <row r="22" spans="2:8" x14ac:dyDescent="0.2">
      <c r="B22" s="5" t="s">
        <v>19</v>
      </c>
      <c r="C22" s="45">
        <v>775</v>
      </c>
      <c r="D22" s="61">
        <v>784</v>
      </c>
      <c r="E22" s="45">
        <f t="shared" si="0"/>
        <v>-9</v>
      </c>
      <c r="F22" s="61">
        <v>806</v>
      </c>
      <c r="G22" s="45">
        <f t="shared" si="1"/>
        <v>-31</v>
      </c>
      <c r="H22" s="7"/>
    </row>
    <row r="23" spans="2:8" x14ac:dyDescent="0.2">
      <c r="B23" s="5" t="s">
        <v>20</v>
      </c>
      <c r="C23" s="45">
        <v>377</v>
      </c>
      <c r="D23" s="61">
        <v>372</v>
      </c>
      <c r="E23" s="45">
        <f t="shared" si="0"/>
        <v>5</v>
      </c>
      <c r="F23" s="61">
        <v>389</v>
      </c>
      <c r="G23" s="45">
        <f t="shared" si="1"/>
        <v>-12</v>
      </c>
      <c r="H23" s="7"/>
    </row>
    <row r="24" spans="2:8" x14ac:dyDescent="0.2">
      <c r="B24" s="5" t="s">
        <v>21</v>
      </c>
      <c r="C24" s="45">
        <v>216</v>
      </c>
      <c r="D24" s="61">
        <v>208</v>
      </c>
      <c r="E24" s="45">
        <f t="shared" si="0"/>
        <v>8</v>
      </c>
      <c r="F24" s="61">
        <v>189</v>
      </c>
      <c r="G24" s="45">
        <f t="shared" si="1"/>
        <v>27</v>
      </c>
      <c r="H24" s="7"/>
    </row>
    <row r="25" spans="2:8" x14ac:dyDescent="0.2">
      <c r="B25" s="5" t="s">
        <v>22</v>
      </c>
      <c r="C25" s="45">
        <v>738</v>
      </c>
      <c r="D25" s="61">
        <v>739</v>
      </c>
      <c r="E25" s="45">
        <f t="shared" si="0"/>
        <v>-1</v>
      </c>
      <c r="F25" s="61">
        <v>760</v>
      </c>
      <c r="G25" s="45">
        <f t="shared" si="1"/>
        <v>-22</v>
      </c>
      <c r="H25" s="7"/>
    </row>
    <row r="26" spans="2:8" x14ac:dyDescent="0.2">
      <c r="B26" s="5" t="s">
        <v>23</v>
      </c>
      <c r="C26" s="45">
        <v>1365</v>
      </c>
      <c r="D26" s="61">
        <v>1372</v>
      </c>
      <c r="E26" s="45">
        <f t="shared" si="0"/>
        <v>-7</v>
      </c>
      <c r="F26" s="61">
        <v>1521</v>
      </c>
      <c r="G26" s="45">
        <f t="shared" si="1"/>
        <v>-156</v>
      </c>
      <c r="H26" s="7"/>
    </row>
    <row r="27" spans="2:8" x14ac:dyDescent="0.2">
      <c r="B27" s="5" t="s">
        <v>24</v>
      </c>
      <c r="C27" s="45">
        <v>312</v>
      </c>
      <c r="D27" s="61">
        <v>293</v>
      </c>
      <c r="E27" s="45">
        <f t="shared" si="0"/>
        <v>19</v>
      </c>
      <c r="F27" s="61">
        <v>348</v>
      </c>
      <c r="G27" s="45">
        <f t="shared" si="1"/>
        <v>-36</v>
      </c>
      <c r="H27" s="7"/>
    </row>
    <row r="28" spans="2:8" ht="15" x14ac:dyDescent="0.25">
      <c r="B28" s="58" t="s">
        <v>25</v>
      </c>
      <c r="C28" s="77">
        <f>SUM(C3:C27)</f>
        <v>17239</v>
      </c>
      <c r="D28" s="63">
        <f>SUM(D3:D27)</f>
        <v>17255</v>
      </c>
      <c r="E28" s="77">
        <f>SUM(E3:E27)</f>
        <v>-16</v>
      </c>
      <c r="F28" s="63">
        <f>SUM(F3:F27)</f>
        <v>17856</v>
      </c>
      <c r="G28" s="77">
        <f>SUM(G3:G27)</f>
        <v>-617</v>
      </c>
      <c r="H28" s="7"/>
    </row>
    <row r="29" spans="2:8" x14ac:dyDescent="0.2"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82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T('8pow. 50 r.ż.'!B2)</f>
        <v>powiaty</v>
      </c>
      <c r="D3" s="55" t="str">
        <f>T('8pow. 50 r.ż.'!C2)</f>
        <v>liczba bezrobotnych 50+ stan na 29-02-'24 r.</v>
      </c>
      <c r="E3" s="55" t="str">
        <f>T('8pow. 50 r.ż.'!D2)</f>
        <v>liczba bezrobotnych 50+ stan na 31-01-'24 r.</v>
      </c>
      <c r="F3" s="55" t="str">
        <f>T('8pow. 50 r.ż.'!E2)</f>
        <v>wzrost/spadek do poprzedniego  miesiąca</v>
      </c>
      <c r="G3" s="55" t="str">
        <f>T('8pow. 50 r.ż.'!F2)</f>
        <v>liczba bezrobotnych 50+ stan na 28-02-'23 r.</v>
      </c>
      <c r="H3" s="55" t="str">
        <f>T('8pow. 50 r.ż.'!G2)</f>
        <v>wzrost/spadek do analogicznego okresu ubr.</v>
      </c>
    </row>
    <row r="4" spans="2:8" x14ac:dyDescent="0.2">
      <c r="B4" s="6">
        <f>RANK('8pow. 50 r.ż.'!C3,'8pow. 50 r.ż.'!$C$3:'8pow. 50 r.ż.'!$C$28,1)+COUNTIF('8pow. 50 r.ż.'!$C$3:'8pow. 50 r.ż.'!C3,'8pow. 50 r.ż.'!C3)-1</f>
        <v>2</v>
      </c>
      <c r="C4" s="5" t="str">
        <f>INDEX('8pow. 50 r.ż.'!B3:G28,MATCH(1,B4:B29,0),1)</f>
        <v>Krosno</v>
      </c>
      <c r="D4" s="25">
        <f>INDEX('8pow. 50 r.ż.'!B3:G28,MATCH(1,B4:B29,0),2)</f>
        <v>216</v>
      </c>
      <c r="E4" s="61">
        <f>INDEX('8pow. 50 r.ż.'!B3:G28,MATCH(1,B4:B29,0),3)</f>
        <v>208</v>
      </c>
      <c r="F4" s="6">
        <f>INDEX('8pow. 50 r.ż.'!B3:G28,MATCH(1,B4:B29,0),4)</f>
        <v>8</v>
      </c>
      <c r="G4" s="61">
        <f>INDEX('8pow. 50 r.ż.'!B3:G28,MATCH(1,B4:B29,0),5)</f>
        <v>189</v>
      </c>
      <c r="H4" s="6">
        <f>INDEX('8pow. 50 r.ż.'!B3:G28,MATCH(1,B4:B29,0),6)</f>
        <v>27</v>
      </c>
    </row>
    <row r="5" spans="2:8" x14ac:dyDescent="0.2">
      <c r="B5" s="6">
        <f>RANK('8pow. 50 r.ż.'!C4,'8pow. 50 r.ż.'!$C$3:'8pow. 50 r.ż.'!$C$28,1)+COUNTIF('8pow. 50 r.ż.'!$C$3:'8pow. 50 r.ż.'!C4,'8pow. 50 r.ż.'!C4)-1</f>
        <v>21</v>
      </c>
      <c r="C5" s="5" t="str">
        <f>INDEX('8pow. 50 r.ż.'!B3:G28,MATCH(2,B4:B29,0),1)</f>
        <v>bieszczadzki</v>
      </c>
      <c r="D5" s="6">
        <f>INDEX('8pow. 50 r.ż.'!B3:G28,MATCH(2,B4:B29,0),2)</f>
        <v>247</v>
      </c>
      <c r="E5" s="61">
        <f>INDEX('8pow. 50 r.ż.'!B3:G28,MATCH(2,B4:B29,0),3)</f>
        <v>253</v>
      </c>
      <c r="F5" s="6">
        <f>INDEX('8pow. 50 r.ż.'!B3:G28,MATCH(2,B4:B29,0),4)</f>
        <v>-6</v>
      </c>
      <c r="G5" s="61">
        <f>INDEX('8pow. 50 r.ż.'!B3:G28,MATCH(2,B4:B29,0),5)</f>
        <v>280</v>
      </c>
      <c r="H5" s="6">
        <f>INDEX('8pow. 50 r.ż.'!B3:G28,MATCH(2,B4:B29,0),6)</f>
        <v>-33</v>
      </c>
    </row>
    <row r="6" spans="2:8" x14ac:dyDescent="0.2">
      <c r="B6" s="6">
        <f>RANK('8pow. 50 r.ż.'!C5,'8pow. 50 r.ż.'!$C$3:'8pow. 50 r.ż.'!$C$28,1)+COUNTIF('8pow. 50 r.ż.'!$C$3:'8pow. 50 r.ż.'!C5,'8pow. 50 r.ż.'!C5)-1</f>
        <v>10</v>
      </c>
      <c r="C6" s="5" t="str">
        <f>INDEX('8pow. 50 r.ż.'!B3:G28,MATCH(3,B4:B29,0),1)</f>
        <v>Tarnobrzeg</v>
      </c>
      <c r="D6" s="6">
        <f>INDEX('8pow. 50 r.ż.'!B3:G28,MATCH(3,B4:B29,0),2)</f>
        <v>312</v>
      </c>
      <c r="E6" s="61">
        <f>INDEX('8pow. 50 r.ż.'!B3:G28,MATCH(3,B4:B29,0),3)</f>
        <v>293</v>
      </c>
      <c r="F6" s="6">
        <f>INDEX('8pow. 50 r.ż.'!B3:G28,MATCH(3,B4:B29,0),4)</f>
        <v>19</v>
      </c>
      <c r="G6" s="61">
        <f>INDEX('8pow. 50 r.ż.'!B3:G28,MATCH(3,B4:B29,0),5)</f>
        <v>348</v>
      </c>
      <c r="H6" s="6">
        <f>INDEX('8pow. 50 r.ż.'!B3:G28,MATCH(3,B4:B29,0),6)</f>
        <v>-36</v>
      </c>
    </row>
    <row r="7" spans="2:8" x14ac:dyDescent="0.2">
      <c r="B7" s="6">
        <f>RANK('8pow. 50 r.ż.'!C6,'8pow. 50 r.ż.'!$C$3:'8pow. 50 r.ż.'!$C$28,1)+COUNTIF('8pow. 50 r.ż.'!$C$3:'8pow. 50 r.ż.'!C6,'8pow. 50 r.ż.'!C6)-1</f>
        <v>22</v>
      </c>
      <c r="C7" s="5" t="str">
        <f>INDEX('8pow. 50 r.ż.'!B3:G28,MATCH(4,B4:B29,0),1)</f>
        <v xml:space="preserve">tarnobrzeski </v>
      </c>
      <c r="D7" s="6">
        <f>INDEX('8pow. 50 r.ż.'!B3:G28,MATCH(4,B4:B29,0),2)</f>
        <v>377</v>
      </c>
      <c r="E7" s="61">
        <f>INDEX('8pow. 50 r.ż.'!B3:G28,MATCH(4,B4:B29,0),3)</f>
        <v>372</v>
      </c>
      <c r="F7" s="6">
        <f>INDEX('8pow. 50 r.ż.'!B3:G28,MATCH(4,B4:B29,0),4)</f>
        <v>5</v>
      </c>
      <c r="G7" s="61">
        <f>INDEX('8pow. 50 r.ż.'!B3:G28,MATCH(4,B4:B29,0),5)</f>
        <v>389</v>
      </c>
      <c r="H7" s="6">
        <f>INDEX('8pow. 50 r.ż.'!B3:G28,MATCH(4,B4:B29,0),6)</f>
        <v>-12</v>
      </c>
    </row>
    <row r="8" spans="2:8" x14ac:dyDescent="0.2">
      <c r="B8" s="6">
        <f>RANK('8pow. 50 r.ż.'!C7,'8pow. 50 r.ż.'!$C$3:'8pow. 50 r.ż.'!$C$28,1)+COUNTIF('8pow. 50 r.ż.'!$C$3:'8pow. 50 r.ż.'!C7,'8pow. 50 r.ż.'!C7)-1</f>
        <v>24</v>
      </c>
      <c r="C8" s="5" t="str">
        <f>INDEX('8pow. 50 r.ż.'!B3:G28,MATCH(5,B4:B29,0),1)</f>
        <v>kolbuszowski</v>
      </c>
      <c r="D8" s="6">
        <f>INDEX('8pow. 50 r.ż.'!B3:G28,MATCH(5,B4:B29,0),2)</f>
        <v>421</v>
      </c>
      <c r="E8" s="61">
        <f>INDEX('8pow. 50 r.ż.'!B3:G28,MATCH(5,B4:B29,0),3)</f>
        <v>416</v>
      </c>
      <c r="F8" s="6">
        <f>INDEX('8pow. 50 r.ż.'!B3:G28,MATCH(5,B4:B29,0),4)</f>
        <v>5</v>
      </c>
      <c r="G8" s="61">
        <f>INDEX('8pow. 50 r.ż.'!B3:G28,MATCH(5,B4:B29,0),5)</f>
        <v>456</v>
      </c>
      <c r="H8" s="6">
        <f>INDEX('8pow. 50 r.ż.'!B3:G28,MATCH(5,B4:B29,0),6)</f>
        <v>-35</v>
      </c>
    </row>
    <row r="9" spans="2:8" x14ac:dyDescent="0.2">
      <c r="B9" s="6">
        <f>RANK('8pow. 50 r.ż.'!C8,'8pow. 50 r.ż.'!$C$3:'8pow. 50 r.ż.'!$C$28,1)+COUNTIF('8pow. 50 r.ż.'!$C$3:'8pow. 50 r.ż.'!C8,'8pow. 50 r.ż.'!C8)-1</f>
        <v>5</v>
      </c>
      <c r="C9" s="5" t="str">
        <f>INDEX('8pow. 50 r.ż.'!B3:G28,MATCH(6,B4:B29,0),1)</f>
        <v>leski</v>
      </c>
      <c r="D9" s="6">
        <f>INDEX('8pow. 50 r.ż.'!B3:G28,MATCH(6,B4:B29,0),2)</f>
        <v>452</v>
      </c>
      <c r="E9" s="61">
        <f>INDEX('8pow. 50 r.ż.'!B3:G28,MATCH(6,B4:B29,0),3)</f>
        <v>450</v>
      </c>
      <c r="F9" s="6">
        <f>INDEX('8pow. 50 r.ż.'!B3:G28,MATCH(6,B4:B29,0),4)</f>
        <v>2</v>
      </c>
      <c r="G9" s="61">
        <f>INDEX('8pow. 50 r.ż.'!B3:G28,MATCH(6,B4:B29,0),5)</f>
        <v>447</v>
      </c>
      <c r="H9" s="6">
        <f>INDEX('8pow. 50 r.ż.'!B3:G28,MATCH(6,B4:B29,0),6)</f>
        <v>5</v>
      </c>
    </row>
    <row r="10" spans="2:8" x14ac:dyDescent="0.2">
      <c r="B10" s="6">
        <f>RANK('8pow. 50 r.ż.'!C9,'8pow. 50 r.ż.'!$C$3:'8pow. 50 r.ż.'!$C$28,1)+COUNTIF('8pow. 50 r.ż.'!$C$3:'8pow. 50 r.ż.'!C9,'8pow. 50 r.ż.'!C9)-1</f>
        <v>12</v>
      </c>
      <c r="C10" s="9" t="str">
        <f>INDEX('8pow. 50 r.ż.'!B3:G28,MATCH(7,B4:B29,0),1)</f>
        <v>stalowowolski</v>
      </c>
      <c r="D10" s="6">
        <f>INDEX('8pow. 50 r.ż.'!B3:G28,MATCH(7,B4:B29,0),2)</f>
        <v>521</v>
      </c>
      <c r="E10" s="61">
        <f>INDEX('8pow. 50 r.ż.'!B3:G28,MATCH(7,B4:B29,0),3)</f>
        <v>522</v>
      </c>
      <c r="F10" s="6">
        <f>INDEX('8pow. 50 r.ż.'!B3:G28,MATCH(7,B4:B29,0),4)</f>
        <v>-1</v>
      </c>
      <c r="G10" s="61">
        <f>INDEX('8pow. 50 r.ż.'!B3:G28,MATCH(7,B4:B29,0),5)</f>
        <v>544</v>
      </c>
      <c r="H10" s="6">
        <f>INDEX('8pow. 50 r.ż.'!B3:G28,MATCH(7,B4:B29,0),6)</f>
        <v>-23</v>
      </c>
    </row>
    <row r="11" spans="2:8" x14ac:dyDescent="0.2">
      <c r="B11" s="6">
        <f>RANK('8pow. 50 r.ż.'!C10,'8pow. 50 r.ż.'!$C$3:'8pow. 50 r.ż.'!$C$28,1)+COUNTIF('8pow. 50 r.ż.'!$C$3:'8pow. 50 r.ż.'!C10,'8pow. 50 r.ż.'!C10)-1</f>
        <v>6</v>
      </c>
      <c r="C11" s="5" t="str">
        <f>INDEX('8pow. 50 r.ż.'!B3:G28,MATCH(8,B4:B29,0),1)</f>
        <v>lubaczowski</v>
      </c>
      <c r="D11" s="6">
        <f>INDEX('8pow. 50 r.ż.'!B3:G28,MATCH(8,B4:B29,0),2)</f>
        <v>526</v>
      </c>
      <c r="E11" s="61">
        <f>INDEX('8pow. 50 r.ż.'!B3:G28,MATCH(8,B4:B29,0),3)</f>
        <v>539</v>
      </c>
      <c r="F11" s="6">
        <f>INDEX('8pow. 50 r.ż.'!B3:G28,MATCH(8,B4:B29,0),4)</f>
        <v>-13</v>
      </c>
      <c r="G11" s="61">
        <f>INDEX('8pow. 50 r.ż.'!B3:G28,MATCH(8,B4:B29,0),5)</f>
        <v>523</v>
      </c>
      <c r="H11" s="6">
        <f>INDEX('8pow. 50 r.ż.'!B3:G28,MATCH(8,B4:B29,0),6)</f>
        <v>3</v>
      </c>
    </row>
    <row r="12" spans="2:8" x14ac:dyDescent="0.2">
      <c r="B12" s="6">
        <f>RANK('8pow. 50 r.ż.'!C11,'8pow. 50 r.ż.'!$C$3:'8pow. 50 r.ż.'!$C$28,1)+COUNTIF('8pow. 50 r.ż.'!$C$3:'8pow. 50 r.ż.'!C11,'8pow. 50 r.ż.'!C11)-1</f>
        <v>20</v>
      </c>
      <c r="C12" s="5" t="str">
        <f>INDEX('8pow. 50 r.ż.'!B3:G28,MATCH(9,B4:B29,0),1)</f>
        <v>ropczycko-sędziszowski</v>
      </c>
      <c r="D12" s="6">
        <f>INDEX('8pow. 50 r.ż.'!B3:G28,MATCH(9,B4:B29,0),2)</f>
        <v>595</v>
      </c>
      <c r="E12" s="61">
        <f>INDEX('8pow. 50 r.ż.'!B3:G28,MATCH(9,B4:B29,0),3)</f>
        <v>625</v>
      </c>
      <c r="F12" s="6">
        <f>INDEX('8pow. 50 r.ż.'!B3:G28,MATCH(9,B4:B29,0),4)</f>
        <v>-30</v>
      </c>
      <c r="G12" s="61">
        <f>INDEX('8pow. 50 r.ż.'!B3:G28,MATCH(9,B4:B29,0),5)</f>
        <v>647</v>
      </c>
      <c r="H12" s="6">
        <f>INDEX('8pow. 50 r.ż.'!B3:G28,MATCH(9,B4:B29,0),6)</f>
        <v>-52</v>
      </c>
    </row>
    <row r="13" spans="2:8" x14ac:dyDescent="0.2">
      <c r="B13" s="6">
        <f>RANK('8pow. 50 r.ż.'!C12,'8pow. 50 r.ż.'!$C$3:'8pow. 50 r.ż.'!$C$28,1)+COUNTIF('8pow. 50 r.ż.'!$C$3:'8pow. 50 r.ż.'!C12,'8pow. 50 r.ż.'!C12)-1</f>
        <v>8</v>
      </c>
      <c r="C13" s="5" t="str">
        <f>INDEX('8pow. 50 r.ż.'!B3:G28,MATCH(10,B4:B29,0),1)</f>
        <v>dębicki</v>
      </c>
      <c r="D13" s="6">
        <f>INDEX('8pow. 50 r.ż.'!B3:G28,MATCH(10,B4:B29,0),2)</f>
        <v>607</v>
      </c>
      <c r="E13" s="61">
        <f>INDEX('8pow. 50 r.ż.'!B3:G28,MATCH(10,B4:B29,0),3)</f>
        <v>604</v>
      </c>
      <c r="F13" s="6">
        <f>INDEX('8pow. 50 r.ż.'!B3:G28,MATCH(10,B4:B29,0),4)</f>
        <v>3</v>
      </c>
      <c r="G13" s="61">
        <f>INDEX('8pow. 50 r.ż.'!B3:G28,MATCH(10,B4:B29,0),5)</f>
        <v>610</v>
      </c>
      <c r="H13" s="6">
        <f>INDEX('8pow. 50 r.ż.'!B3:G28,MATCH(10,B4:B29,0),6)</f>
        <v>-3</v>
      </c>
    </row>
    <row r="14" spans="2:8" x14ac:dyDescent="0.2">
      <c r="B14" s="6">
        <f>RANK('8pow. 50 r.ż.'!C13,'8pow. 50 r.ż.'!$C$3:'8pow. 50 r.ż.'!$C$28,1)+COUNTIF('8pow. 50 r.ż.'!$C$3:'8pow. 50 r.ż.'!C13,'8pow. 50 r.ż.'!C13)-1</f>
        <v>11</v>
      </c>
      <c r="C14" s="5" t="str">
        <f>INDEX('8pow. 50 r.ż.'!B3:G28,MATCH(11,B4:B29,0),1)</f>
        <v>łańcucki</v>
      </c>
      <c r="D14" s="6">
        <f>INDEX('8pow. 50 r.ż.'!B3:G28,MATCH(11,B4:B29,0),2)</f>
        <v>611</v>
      </c>
      <c r="E14" s="61">
        <f>INDEX('8pow. 50 r.ż.'!B3:G28,MATCH(11,B4:B29,0),3)</f>
        <v>608</v>
      </c>
      <c r="F14" s="6">
        <f>INDEX('8pow. 50 r.ż.'!B3:G28,MATCH(11,B4:B29,0),4)</f>
        <v>3</v>
      </c>
      <c r="G14" s="61">
        <f>INDEX('8pow. 50 r.ż.'!B3:G28,MATCH(11,B4:B29,0),5)</f>
        <v>658</v>
      </c>
      <c r="H14" s="6">
        <f>INDEX('8pow. 50 r.ż.'!B3:G28,MATCH(11,B4:B29,0),6)</f>
        <v>-47</v>
      </c>
    </row>
    <row r="15" spans="2:8" x14ac:dyDescent="0.2">
      <c r="B15" s="6">
        <f>RANK('8pow. 50 r.ż.'!C14,'8pow. 50 r.ż.'!$C$3:'8pow. 50 r.ż.'!$C$28,1)+COUNTIF('8pow. 50 r.ż.'!$C$3:'8pow. 50 r.ż.'!C14,'8pow. 50 r.ż.'!C14)-1</f>
        <v>17</v>
      </c>
      <c r="C15" s="5" t="str">
        <f>INDEX('8pow. 50 r.ż.'!B3:G28,MATCH(12,B4:B29,0),1)</f>
        <v>krośnieński</v>
      </c>
      <c r="D15" s="6">
        <f>INDEX('8pow. 50 r.ż.'!B3:G28,MATCH(12,B4:B29,0),2)</f>
        <v>625</v>
      </c>
      <c r="E15" s="61">
        <f>INDEX('8pow. 50 r.ż.'!B3:G28,MATCH(12,B4:B29,0),3)</f>
        <v>612</v>
      </c>
      <c r="F15" s="6">
        <f>INDEX('8pow. 50 r.ż.'!B3:G28,MATCH(12,B4:B29,0),4)</f>
        <v>13</v>
      </c>
      <c r="G15" s="61">
        <f>INDEX('8pow. 50 r.ż.'!B3:G28,MATCH(12,B4:B29,0),5)</f>
        <v>579</v>
      </c>
      <c r="H15" s="6">
        <f>INDEX('8pow. 50 r.ż.'!B3:G28,MATCH(12,B4:B29,0),6)</f>
        <v>46</v>
      </c>
    </row>
    <row r="16" spans="2:8" x14ac:dyDescent="0.2">
      <c r="B16" s="6">
        <f>RANK('8pow. 50 r.ż.'!C15,'8pow. 50 r.ż.'!$C$3:'8pow. 50 r.ż.'!$C$28,1)+COUNTIF('8pow. 50 r.ż.'!$C$3:'8pow. 50 r.ż.'!C15,'8pow. 50 r.ż.'!C15)-1</f>
        <v>14</v>
      </c>
      <c r="C16" s="5" t="str">
        <f>INDEX('8pow. 50 r.ż.'!B3:G28,MATCH(13,B4:B29,0),1)</f>
        <v>sanocki</v>
      </c>
      <c r="D16" s="6">
        <f>INDEX('8pow. 50 r.ż.'!B3:G28,MATCH(13,B4:B29,0),2)</f>
        <v>651</v>
      </c>
      <c r="E16" s="61">
        <f>INDEX('8pow. 50 r.ż.'!B3:G28,MATCH(13,B4:B29,0),3)</f>
        <v>654</v>
      </c>
      <c r="F16" s="6">
        <f>INDEX('8pow. 50 r.ż.'!B3:G28,MATCH(13,B4:B29,0),4)</f>
        <v>-3</v>
      </c>
      <c r="G16" s="61">
        <f>INDEX('8pow. 50 r.ż.'!B3:G28,MATCH(13,B4:B29,0),5)</f>
        <v>650</v>
      </c>
      <c r="H16" s="6">
        <f>INDEX('8pow. 50 r.ż.'!B3:G28,MATCH(13,B4:B29,0),6)</f>
        <v>1</v>
      </c>
    </row>
    <row r="17" spans="2:8" x14ac:dyDescent="0.2">
      <c r="B17" s="6">
        <f>RANK('8pow. 50 r.ż.'!C16,'8pow. 50 r.ż.'!$C$3:'8pow. 50 r.ż.'!$C$28,1)+COUNTIF('8pow. 50 r.ż.'!$C$3:'8pow. 50 r.ż.'!C16,'8pow. 50 r.ż.'!C16)-1</f>
        <v>18</v>
      </c>
      <c r="C17" s="5" t="str">
        <f>INDEX('8pow. 50 r.ż.'!B3:G28,MATCH(14,B4:B29,0),1)</f>
        <v>niżański</v>
      </c>
      <c r="D17" s="6">
        <f>INDEX('8pow. 50 r.ż.'!B3:G28,MATCH(14,B4:B29,0),2)</f>
        <v>726</v>
      </c>
      <c r="E17" s="61">
        <f>INDEX('8pow. 50 r.ż.'!B3:G28,MATCH(14,B4:B29,0),3)</f>
        <v>744</v>
      </c>
      <c r="F17" s="6">
        <f>INDEX('8pow. 50 r.ż.'!B3:G28,MATCH(14,B4:B29,0),4)</f>
        <v>-18</v>
      </c>
      <c r="G17" s="61">
        <f>INDEX('8pow. 50 r.ż.'!B3:G28,MATCH(14,B4:B29,0),5)</f>
        <v>793</v>
      </c>
      <c r="H17" s="6">
        <f>INDEX('8pow. 50 r.ż.'!B3:G28,MATCH(14,B4:B29,0),6)</f>
        <v>-67</v>
      </c>
    </row>
    <row r="18" spans="2:8" x14ac:dyDescent="0.2">
      <c r="B18" s="6">
        <f>RANK('8pow. 50 r.ż.'!C17,'8pow. 50 r.ż.'!$C$3:'8pow. 50 r.ż.'!$C$28,1)+COUNTIF('8pow. 50 r.ż.'!$C$3:'8pow. 50 r.ż.'!C17,'8pow. 50 r.ż.'!C17)-1</f>
        <v>16</v>
      </c>
      <c r="C18" s="5" t="str">
        <f>INDEX('8pow. 50 r.ż.'!B3:G28,MATCH(15,B4:B29,0),1)</f>
        <v>Przemyśl</v>
      </c>
      <c r="D18" s="6">
        <f>INDEX('8pow. 50 r.ż.'!B3:G28,MATCH(15,B4:B29,0),2)</f>
        <v>738</v>
      </c>
      <c r="E18" s="61">
        <f>INDEX('8pow. 50 r.ż.'!B3:G28,MATCH(15,B4:B29,0),3)</f>
        <v>739</v>
      </c>
      <c r="F18" s="6">
        <f>INDEX('8pow. 50 r.ż.'!B3:G28,MATCH(15,B4:B29,0),4)</f>
        <v>-1</v>
      </c>
      <c r="G18" s="61">
        <f>INDEX('8pow. 50 r.ż.'!B3:G28,MATCH(15,B4:B29,0),5)</f>
        <v>760</v>
      </c>
      <c r="H18" s="6">
        <f>INDEX('8pow. 50 r.ż.'!B3:G28,MATCH(15,B4:B29,0),6)</f>
        <v>-22</v>
      </c>
    </row>
    <row r="19" spans="2:8" x14ac:dyDescent="0.2">
      <c r="B19" s="6">
        <f>RANK('8pow. 50 r.ż.'!C18,'8pow. 50 r.ż.'!$C$3:'8pow. 50 r.ż.'!$C$28,1)+COUNTIF('8pow. 50 r.ż.'!$C$3:'8pow. 50 r.ż.'!C18,'8pow. 50 r.ż.'!C18)-1</f>
        <v>9</v>
      </c>
      <c r="C19" s="5" t="str">
        <f>INDEX('8pow. 50 r.ż.'!B3:G28,MATCH(16,B4:B29,0),1)</f>
        <v>przeworski</v>
      </c>
      <c r="D19" s="6">
        <f>INDEX('8pow. 50 r.ż.'!B3:G28,MATCH(16,B4:B29,0),2)</f>
        <v>747</v>
      </c>
      <c r="E19" s="61">
        <f>INDEX('8pow. 50 r.ż.'!B3:G28,MATCH(16,B4:B29,0),3)</f>
        <v>741</v>
      </c>
      <c r="F19" s="6">
        <f>INDEX('8pow. 50 r.ż.'!B3:G28,MATCH(16,B4:B29,0),4)</f>
        <v>6</v>
      </c>
      <c r="G19" s="61">
        <f>INDEX('8pow. 50 r.ż.'!B3:G28,MATCH(16,B4:B29,0),5)</f>
        <v>738</v>
      </c>
      <c r="H19" s="6">
        <f>INDEX('8pow. 50 r.ż.'!B3:G28,MATCH(16,B4:B29,0),6)</f>
        <v>9</v>
      </c>
    </row>
    <row r="20" spans="2:8" x14ac:dyDescent="0.2">
      <c r="B20" s="6">
        <f>RANK('8pow. 50 r.ż.'!C19,'8pow. 50 r.ż.'!$C$3:'8pow. 50 r.ż.'!$C$28,1)+COUNTIF('8pow. 50 r.ż.'!$C$3:'8pow. 50 r.ż.'!C19,'8pow. 50 r.ż.'!C19)-1</f>
        <v>23</v>
      </c>
      <c r="C20" s="5" t="str">
        <f>INDEX('8pow. 50 r.ż.'!B3:G28,MATCH(17,B4:B29,0),1)</f>
        <v>mielecki</v>
      </c>
      <c r="D20" s="6">
        <f>INDEX('8pow. 50 r.ż.'!B3:G28,MATCH(17,B4:B29,0),2)</f>
        <v>749</v>
      </c>
      <c r="E20" s="61">
        <f>INDEX('8pow. 50 r.ż.'!B3:G28,MATCH(17,B4:B29,0),3)</f>
        <v>746</v>
      </c>
      <c r="F20" s="6">
        <f>INDEX('8pow. 50 r.ż.'!B3:G28,MATCH(17,B4:B29,0),4)</f>
        <v>3</v>
      </c>
      <c r="G20" s="61">
        <f>INDEX('8pow. 50 r.ż.'!B3:G28,MATCH(17,B4:B29,0),5)</f>
        <v>716</v>
      </c>
      <c r="H20" s="6">
        <f>INDEX('8pow. 50 r.ż.'!B3:G28,MATCH(17,B4:B29,0),6)</f>
        <v>33</v>
      </c>
    </row>
    <row r="21" spans="2:8" x14ac:dyDescent="0.2">
      <c r="B21" s="6">
        <f>RANK('8pow. 50 r.ż.'!C20,'8pow. 50 r.ż.'!$C$3:'8pow. 50 r.ż.'!$C$28,1)+COUNTIF('8pow. 50 r.ż.'!$C$3:'8pow. 50 r.ż.'!C20,'8pow. 50 r.ż.'!C20)-1</f>
        <v>13</v>
      </c>
      <c r="C21" s="5" t="str">
        <f>INDEX('8pow. 50 r.ż.'!B3:G28,MATCH(18,B4:B29,0),1)</f>
        <v>przemyski</v>
      </c>
      <c r="D21" s="6">
        <f>INDEX('8pow. 50 r.ż.'!B3:G28,MATCH(18,B4:B29,0),2)</f>
        <v>761</v>
      </c>
      <c r="E21" s="61">
        <f>INDEX('8pow. 50 r.ż.'!B3:G28,MATCH(18,B4:B29,0),3)</f>
        <v>768</v>
      </c>
      <c r="F21" s="6">
        <f>INDEX('8pow. 50 r.ż.'!B3:G28,MATCH(18,B4:B29,0),4)</f>
        <v>-7</v>
      </c>
      <c r="G21" s="61">
        <f>INDEX('8pow. 50 r.ż.'!B3:G28,MATCH(18,B4:B29,0),5)</f>
        <v>771</v>
      </c>
      <c r="H21" s="6">
        <f>INDEX('8pow. 50 r.ż.'!B3:G28,MATCH(18,B4:B29,0),6)</f>
        <v>-10</v>
      </c>
    </row>
    <row r="22" spans="2:8" x14ac:dyDescent="0.2">
      <c r="B22" s="6">
        <f>RANK('8pow. 50 r.ż.'!C21,'8pow. 50 r.ż.'!$C$3:'8pow. 50 r.ż.'!$C$28,1)+COUNTIF('8pow. 50 r.ż.'!$C$3:'8pow. 50 r.ż.'!C21,'8pow. 50 r.ż.'!C21)-1</f>
        <v>7</v>
      </c>
      <c r="C22" s="5" t="str">
        <f>INDEX('8pow. 50 r.ż.'!B3:G28,MATCH(19,B4:B29,0),1)</f>
        <v>strzyżowski</v>
      </c>
      <c r="D22" s="6">
        <f>INDEX('8pow. 50 r.ż.'!B3:G28,MATCH(19,B4:B29,0),2)</f>
        <v>775</v>
      </c>
      <c r="E22" s="61">
        <f>INDEX('8pow. 50 r.ż.'!B3:G28,MATCH(19,B4:B29,0),3)</f>
        <v>784</v>
      </c>
      <c r="F22" s="6">
        <f>INDEX('8pow. 50 r.ż.'!B3:G28,MATCH(19,B4:B29,0),4)</f>
        <v>-9</v>
      </c>
      <c r="G22" s="61">
        <f>INDEX('8pow. 50 r.ż.'!B3:G28,MATCH(19,B4:B29,0),5)</f>
        <v>806</v>
      </c>
      <c r="H22" s="6">
        <f>INDEX('8pow. 50 r.ż.'!B3:G28,MATCH(19,B4:B29,0),6)</f>
        <v>-31</v>
      </c>
    </row>
    <row r="23" spans="2:8" x14ac:dyDescent="0.2">
      <c r="B23" s="6">
        <f>RANK('8pow. 50 r.ż.'!C22,'8pow. 50 r.ż.'!$C$3:'8pow. 50 r.ż.'!$C$28,1)+COUNTIF('8pow. 50 r.ż.'!$C$3:'8pow. 50 r.ż.'!C22,'8pow. 50 r.ż.'!C22)-1</f>
        <v>19</v>
      </c>
      <c r="C23" s="5" t="str">
        <f>INDEX('8pow. 50 r.ż.'!B3:G28,MATCH(20,B4:B29,0),1)</f>
        <v>leżajski</v>
      </c>
      <c r="D23" s="6">
        <f>INDEX('8pow. 50 r.ż.'!B3:G28,MATCH(20,B4:B29,0),2)</f>
        <v>781</v>
      </c>
      <c r="E23" s="61">
        <f>INDEX('8pow. 50 r.ż.'!B3:G28,MATCH(20,B4:B29,0),3)</f>
        <v>772</v>
      </c>
      <c r="F23" s="6">
        <f>INDEX('8pow. 50 r.ż.'!B3:G28,MATCH(20,B4:B29,0),4)</f>
        <v>9</v>
      </c>
      <c r="G23" s="61">
        <f>INDEX('8pow. 50 r.ż.'!B3:G28,MATCH(20,B4:B29,0),5)</f>
        <v>771</v>
      </c>
      <c r="H23" s="6">
        <f>INDEX('8pow. 50 r.ż.'!B3:G28,MATCH(20,B4:B29,0),6)</f>
        <v>10</v>
      </c>
    </row>
    <row r="24" spans="2:8" x14ac:dyDescent="0.2">
      <c r="B24" s="6">
        <f>RANK('8pow. 50 r.ż.'!C23,'8pow. 50 r.ż.'!$C$3:'8pow. 50 r.ż.'!$C$28,1)+COUNTIF('8pow. 50 r.ż.'!$C$3:'8pow. 50 r.ż.'!C23,'8pow. 50 r.ż.'!C23)-1</f>
        <v>4</v>
      </c>
      <c r="C24" s="5" t="str">
        <f>INDEX('8pow. 50 r.ż.'!B3:G28,MATCH(21,B4:B29,0),1)</f>
        <v>brzozowski</v>
      </c>
      <c r="D24" s="6">
        <f>INDEX('8pow. 50 r.ż.'!B3:G28,MATCH(21,B4:B29,0),2)</f>
        <v>991</v>
      </c>
      <c r="E24" s="61">
        <f>INDEX('8pow. 50 r.ż.'!B3:G28,MATCH(21,B4:B29,0),3)</f>
        <v>978</v>
      </c>
      <c r="F24" s="6">
        <f>INDEX('8pow. 50 r.ż.'!B3:G28,MATCH(21,B4:B29,0),4)</f>
        <v>13</v>
      </c>
      <c r="G24" s="61">
        <f>INDEX('8pow. 50 r.ż.'!B3:G28,MATCH(21,B4:B29,0),5)</f>
        <v>1025</v>
      </c>
      <c r="H24" s="6">
        <f>INDEX('8pow. 50 r.ż.'!B3:G28,MATCH(21,B4:B29,0),6)</f>
        <v>-34</v>
      </c>
    </row>
    <row r="25" spans="2:8" x14ac:dyDescent="0.2">
      <c r="B25" s="6">
        <f>RANK('8pow. 50 r.ż.'!C24,'8pow. 50 r.ż.'!$C$3:'8pow. 50 r.ż.'!$C$28,1)+COUNTIF('8pow. 50 r.ż.'!$C$3:'8pow. 50 r.ż.'!C24,'8pow. 50 r.ż.'!C24)-1</f>
        <v>1</v>
      </c>
      <c r="C25" s="5" t="str">
        <f>INDEX('8pow. 50 r.ż.'!B3:G28,MATCH(22,B4:B29,0),1)</f>
        <v>jarosławski</v>
      </c>
      <c r="D25" s="6">
        <f>INDEX('8pow. 50 r.ż.'!B3:G28,MATCH(22,B4:B29,0),2)</f>
        <v>1085</v>
      </c>
      <c r="E25" s="61">
        <f>INDEX('8pow. 50 r.ż.'!B3:G28,MATCH(22,B4:B29,0),3)</f>
        <v>1088</v>
      </c>
      <c r="F25" s="6">
        <f>INDEX('8pow. 50 r.ż.'!B3:G28,MATCH(22,B4:B29,0),4)</f>
        <v>-3</v>
      </c>
      <c r="G25" s="61">
        <f>INDEX('8pow. 50 r.ż.'!B3:G28,MATCH(22,B4:B29,0),5)</f>
        <v>1153</v>
      </c>
      <c r="H25" s="6">
        <f>INDEX('8pow. 50 r.ż.'!B3:G28,MATCH(22,B4:B29,0),6)</f>
        <v>-68</v>
      </c>
    </row>
    <row r="26" spans="2:8" x14ac:dyDescent="0.2">
      <c r="B26" s="6">
        <f>RANK('8pow. 50 r.ż.'!C25,'8pow. 50 r.ż.'!$C$3:'8pow. 50 r.ż.'!$C$28,1)+COUNTIF('8pow. 50 r.ż.'!$C$3:'8pow. 50 r.ż.'!C25,'8pow. 50 r.ż.'!C25)-1</f>
        <v>15</v>
      </c>
      <c r="C26" s="5" t="str">
        <f>INDEX('8pow. 50 r.ż.'!B3:G28,MATCH(23,B4:B29,0),1)</f>
        <v>rzeszowski</v>
      </c>
      <c r="D26" s="6">
        <f>INDEX('8pow. 50 r.ż.'!B3:G28,MATCH(23,B4:B29,0),2)</f>
        <v>1154</v>
      </c>
      <c r="E26" s="61">
        <f>INDEX('8pow. 50 r.ż.'!B3:G28,MATCH(23,B4:B29,0),3)</f>
        <v>1155</v>
      </c>
      <c r="F26" s="6">
        <f>INDEX('8pow. 50 r.ż.'!B3:G28,MATCH(23,B4:B29,0),4)</f>
        <v>-1</v>
      </c>
      <c r="G26" s="61">
        <f>INDEX('8pow. 50 r.ż.'!B3:G28,MATCH(23,B4:B29,0),5)</f>
        <v>1297</v>
      </c>
      <c r="H26" s="6">
        <f>INDEX('8pow. 50 r.ż.'!B3:G28,MATCH(23,B4:B29,0),6)</f>
        <v>-143</v>
      </c>
    </row>
    <row r="27" spans="2:8" x14ac:dyDescent="0.2">
      <c r="B27" s="6">
        <f>RANK('8pow. 50 r.ż.'!C26,'8pow. 50 r.ż.'!$C$3:'8pow. 50 r.ż.'!$C$28,1)+COUNTIF('8pow. 50 r.ż.'!$C$3:'8pow. 50 r.ż.'!C26,'8pow. 50 r.ż.'!C26)-1</f>
        <v>25</v>
      </c>
      <c r="C27" s="5" t="str">
        <f>INDEX('8pow. 50 r.ż.'!B3:G28,MATCH(24,B4:B29,0),1)</f>
        <v>jasielski</v>
      </c>
      <c r="D27" s="6">
        <f>INDEX('8pow. 50 r.ż.'!B3:G28,MATCH(24,B4:B29,0),2)</f>
        <v>1206</v>
      </c>
      <c r="E27" s="61">
        <f>INDEX('8pow. 50 r.ż.'!B3:G28,MATCH(24,B4:B29,0),3)</f>
        <v>1212</v>
      </c>
      <c r="F27" s="6">
        <f>INDEX('8pow. 50 r.ż.'!B3:G28,MATCH(24,B4:B29,0),4)</f>
        <v>-6</v>
      </c>
      <c r="G27" s="61">
        <f>INDEX('8pow. 50 r.ż.'!B3:G28,MATCH(24,B4:B29,0),5)</f>
        <v>1185</v>
      </c>
      <c r="H27" s="6">
        <f>INDEX('8pow. 50 r.ż.'!B3:G28,MATCH(24,B4:B29,0),6)</f>
        <v>21</v>
      </c>
    </row>
    <row r="28" spans="2:8" x14ac:dyDescent="0.2">
      <c r="B28" s="6">
        <f>RANK('8pow. 50 r.ż.'!C27,'8pow. 50 r.ż.'!$C$3:'8pow. 50 r.ż.'!$C$28,1)+COUNTIF('8pow. 50 r.ż.'!$C$3:'8pow. 50 r.ż.'!C27,'8pow. 50 r.ż.'!C27)-1</f>
        <v>3</v>
      </c>
      <c r="C28" s="5" t="str">
        <f>INDEX('8pow. 50 r.ż.'!B3:G28,MATCH(25,B4:B29,0),1)</f>
        <v>Rzeszów</v>
      </c>
      <c r="D28" s="6">
        <f>INDEX('8pow. 50 r.ż.'!B3:G28,MATCH(25,B4:B29,0),2)</f>
        <v>1365</v>
      </c>
      <c r="E28" s="61">
        <f>INDEX('8pow. 50 r.ż.'!B3:G28,MATCH(25,B4:B29,0),3)</f>
        <v>1372</v>
      </c>
      <c r="F28" s="6">
        <f>INDEX('8pow. 50 r.ż.'!B3:G28,MATCH(25,B4:B29,0),4)</f>
        <v>-7</v>
      </c>
      <c r="G28" s="61">
        <f>INDEX('8pow. 50 r.ż.'!B3:G28,MATCH(25,B4:B29,0),5)</f>
        <v>1521</v>
      </c>
      <c r="H28" s="6">
        <f>INDEX('8pow. 50 r.ż.'!B3:G28,MATCH(25,B4:B29,0),6)</f>
        <v>-156</v>
      </c>
    </row>
    <row r="29" spans="2:8" ht="15" x14ac:dyDescent="0.25">
      <c r="B29" s="59">
        <f>RANK('8pow. 50 r.ż.'!C28,'8pow. 50 r.ż.'!$C$3:'8pow. 50 r.ż.'!$C$28,1)+COUNTIF('8pow. 50 r.ż.'!$C$3:'8pow. 50 r.ż.'!C28,'8pow. 50 r.ż.'!C28)-1</f>
        <v>26</v>
      </c>
      <c r="C29" s="58" t="str">
        <f>INDEX('8pow. 50 r.ż.'!B3:G28,MATCH(26,B4:B29,0),1)</f>
        <v>województwo</v>
      </c>
      <c r="D29" s="59">
        <f>INDEX('8pow. 50 r.ż.'!B3:G28,MATCH(26,B4:B29,0),2)</f>
        <v>17239</v>
      </c>
      <c r="E29" s="63">
        <f>INDEX('8pow. 50 r.ż.'!B3:G28,MATCH(26,B4:B29,0),3)</f>
        <v>17255</v>
      </c>
      <c r="F29" s="59">
        <f>INDEX('8pow. 50 r.ż.'!B3:G28,MATCH(26,B4:B29,0),4)</f>
        <v>-16</v>
      </c>
      <c r="G29" s="63">
        <f>INDEX('8pow. 50 r.ż.'!B3:G28,MATCH(26,B4:B29,0),5)</f>
        <v>17856</v>
      </c>
      <c r="H29" s="59">
        <f>INDEX('8pow. 50 r.ż.'!B3:G28,MATCH(26,B4:B29,0),6)</f>
        <v>-617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7.28515625" style="3" customWidth="1"/>
    <col min="6" max="6" width="12" style="3" customWidth="1"/>
    <col min="7" max="7" width="17.140625" style="3" customWidth="1"/>
    <col min="8" max="8" width="3.85546875" style="3" customWidth="1"/>
    <col min="9" max="13" width="0" style="3" hidden="1" customWidth="1"/>
    <col min="14" max="16384" width="9.140625" style="3"/>
  </cols>
  <sheetData>
    <row r="1" spans="2:8" ht="20.25" customHeight="1" x14ac:dyDescent="0.2">
      <c r="B1" s="1" t="s">
        <v>30</v>
      </c>
      <c r="C1" s="42"/>
      <c r="D1" s="42"/>
      <c r="E1" s="42"/>
      <c r="F1" s="42"/>
      <c r="G1" s="42"/>
    </row>
    <row r="2" spans="2:8" ht="57" x14ac:dyDescent="0.2">
      <c r="B2" s="55" t="s">
        <v>27</v>
      </c>
      <c r="C2" s="56" t="s">
        <v>160</v>
      </c>
      <c r="D2" s="57" t="s">
        <v>136</v>
      </c>
      <c r="E2" s="56" t="s">
        <v>28</v>
      </c>
      <c r="F2" s="57" t="s">
        <v>161</v>
      </c>
      <c r="G2" s="56" t="s">
        <v>26</v>
      </c>
    </row>
    <row r="3" spans="2:8" x14ac:dyDescent="0.2">
      <c r="B3" s="5" t="s">
        <v>0</v>
      </c>
      <c r="C3" s="45">
        <v>84</v>
      </c>
      <c r="D3" s="61">
        <v>116</v>
      </c>
      <c r="E3" s="45">
        <f t="shared" ref="E3:E27" si="0">SUM(C3)-D3</f>
        <v>-32</v>
      </c>
      <c r="F3" s="61">
        <v>72</v>
      </c>
      <c r="G3" s="45">
        <f t="shared" ref="G3:G27" si="1">SUM(C3)-F3</f>
        <v>12</v>
      </c>
      <c r="H3" s="7"/>
    </row>
    <row r="4" spans="2:8" x14ac:dyDescent="0.2">
      <c r="B4" s="5" t="s">
        <v>1</v>
      </c>
      <c r="C4" s="45">
        <v>74</v>
      </c>
      <c r="D4" s="61">
        <v>30</v>
      </c>
      <c r="E4" s="45">
        <f t="shared" si="0"/>
        <v>44</v>
      </c>
      <c r="F4" s="61">
        <v>54</v>
      </c>
      <c r="G4" s="45">
        <f t="shared" si="1"/>
        <v>20</v>
      </c>
      <c r="H4" s="7"/>
    </row>
    <row r="5" spans="2:8" x14ac:dyDescent="0.2">
      <c r="B5" s="5" t="s">
        <v>2</v>
      </c>
      <c r="C5" s="45">
        <v>226</v>
      </c>
      <c r="D5" s="61">
        <v>180</v>
      </c>
      <c r="E5" s="45">
        <f t="shared" si="0"/>
        <v>46</v>
      </c>
      <c r="F5" s="61">
        <v>282</v>
      </c>
      <c r="G5" s="45">
        <f t="shared" si="1"/>
        <v>-56</v>
      </c>
      <c r="H5" s="7"/>
    </row>
    <row r="6" spans="2:8" x14ac:dyDescent="0.2">
      <c r="B6" s="5" t="s">
        <v>3</v>
      </c>
      <c r="C6" s="45">
        <v>307</v>
      </c>
      <c r="D6" s="61">
        <v>165</v>
      </c>
      <c r="E6" s="45">
        <f t="shared" si="0"/>
        <v>142</v>
      </c>
      <c r="F6" s="61">
        <v>359</v>
      </c>
      <c r="G6" s="45">
        <f t="shared" si="1"/>
        <v>-52</v>
      </c>
      <c r="H6" s="7"/>
    </row>
    <row r="7" spans="2:8" x14ac:dyDescent="0.2">
      <c r="B7" s="5" t="s">
        <v>4</v>
      </c>
      <c r="C7" s="45">
        <v>248</v>
      </c>
      <c r="D7" s="61">
        <v>203</v>
      </c>
      <c r="E7" s="45">
        <f t="shared" si="0"/>
        <v>45</v>
      </c>
      <c r="F7" s="61">
        <v>240</v>
      </c>
      <c r="G7" s="45">
        <f t="shared" si="1"/>
        <v>8</v>
      </c>
      <c r="H7" s="7"/>
    </row>
    <row r="8" spans="2:8" x14ac:dyDescent="0.2">
      <c r="B8" s="5" t="s">
        <v>5</v>
      </c>
      <c r="C8" s="45">
        <v>89</v>
      </c>
      <c r="D8" s="61">
        <v>89</v>
      </c>
      <c r="E8" s="45">
        <f t="shared" si="0"/>
        <v>0</v>
      </c>
      <c r="F8" s="61">
        <v>151</v>
      </c>
      <c r="G8" s="45">
        <f t="shared" si="1"/>
        <v>-62</v>
      </c>
      <c r="H8" s="7"/>
    </row>
    <row r="9" spans="2:8" x14ac:dyDescent="0.2">
      <c r="B9" s="9" t="s">
        <v>6</v>
      </c>
      <c r="C9" s="45">
        <v>62</v>
      </c>
      <c r="D9" s="61">
        <v>58</v>
      </c>
      <c r="E9" s="45">
        <f t="shared" si="0"/>
        <v>4</v>
      </c>
      <c r="F9" s="61">
        <v>98</v>
      </c>
      <c r="G9" s="45">
        <f t="shared" si="1"/>
        <v>-36</v>
      </c>
      <c r="H9" s="7"/>
    </row>
    <row r="10" spans="2:8" x14ac:dyDescent="0.2">
      <c r="B10" s="5" t="s">
        <v>7</v>
      </c>
      <c r="C10" s="45">
        <v>34</v>
      </c>
      <c r="D10" s="61">
        <v>17</v>
      </c>
      <c r="E10" s="45">
        <f t="shared" si="0"/>
        <v>17</v>
      </c>
      <c r="F10" s="61">
        <v>35</v>
      </c>
      <c r="G10" s="45">
        <f t="shared" si="1"/>
        <v>-1</v>
      </c>
      <c r="H10" s="7"/>
    </row>
    <row r="11" spans="2:8" x14ac:dyDescent="0.2">
      <c r="B11" s="5" t="s">
        <v>8</v>
      </c>
      <c r="C11" s="45">
        <v>209</v>
      </c>
      <c r="D11" s="61">
        <v>47</v>
      </c>
      <c r="E11" s="45">
        <f t="shared" si="0"/>
        <v>162</v>
      </c>
      <c r="F11" s="61">
        <v>175</v>
      </c>
      <c r="G11" s="45">
        <f t="shared" si="1"/>
        <v>34</v>
      </c>
      <c r="H11" s="7"/>
    </row>
    <row r="12" spans="2:8" x14ac:dyDescent="0.2">
      <c r="B12" s="5" t="s">
        <v>9</v>
      </c>
      <c r="C12" s="45">
        <v>108</v>
      </c>
      <c r="D12" s="61">
        <v>40</v>
      </c>
      <c r="E12" s="45">
        <f t="shared" si="0"/>
        <v>68</v>
      </c>
      <c r="F12" s="61">
        <v>101</v>
      </c>
      <c r="G12" s="45">
        <f t="shared" si="1"/>
        <v>7</v>
      </c>
      <c r="H12" s="7"/>
    </row>
    <row r="13" spans="2:8" x14ac:dyDescent="0.2">
      <c r="B13" s="5" t="s">
        <v>10</v>
      </c>
      <c r="C13" s="45">
        <v>143</v>
      </c>
      <c r="D13" s="61">
        <v>168</v>
      </c>
      <c r="E13" s="45">
        <f t="shared" si="0"/>
        <v>-25</v>
      </c>
      <c r="F13" s="61">
        <v>150</v>
      </c>
      <c r="G13" s="45">
        <f t="shared" si="1"/>
        <v>-7</v>
      </c>
      <c r="H13" s="7"/>
    </row>
    <row r="14" spans="2:8" x14ac:dyDescent="0.2">
      <c r="B14" s="5" t="s">
        <v>11</v>
      </c>
      <c r="C14" s="45">
        <v>311</v>
      </c>
      <c r="D14" s="61">
        <v>415</v>
      </c>
      <c r="E14" s="45">
        <f t="shared" si="0"/>
        <v>-104</v>
      </c>
      <c r="F14" s="61">
        <v>364</v>
      </c>
      <c r="G14" s="45">
        <f t="shared" si="1"/>
        <v>-53</v>
      </c>
      <c r="H14" s="7"/>
    </row>
    <row r="15" spans="2:8" x14ac:dyDescent="0.2">
      <c r="B15" s="5" t="s">
        <v>12</v>
      </c>
      <c r="C15" s="45">
        <v>120</v>
      </c>
      <c r="D15" s="61">
        <v>70</v>
      </c>
      <c r="E15" s="45">
        <f t="shared" si="0"/>
        <v>50</v>
      </c>
      <c r="F15" s="61">
        <v>122</v>
      </c>
      <c r="G15" s="45">
        <f t="shared" si="1"/>
        <v>-2</v>
      </c>
      <c r="H15" s="7"/>
    </row>
    <row r="16" spans="2:8" x14ac:dyDescent="0.2">
      <c r="B16" s="5" t="s">
        <v>13</v>
      </c>
      <c r="C16" s="45">
        <v>72</v>
      </c>
      <c r="D16" s="61">
        <v>36</v>
      </c>
      <c r="E16" s="45">
        <f t="shared" si="0"/>
        <v>36</v>
      </c>
      <c r="F16" s="61">
        <v>61</v>
      </c>
      <c r="G16" s="45">
        <f t="shared" si="1"/>
        <v>11</v>
      </c>
      <c r="H16" s="7"/>
    </row>
    <row r="17" spans="2:8" x14ac:dyDescent="0.2">
      <c r="B17" s="5" t="s">
        <v>14</v>
      </c>
      <c r="C17" s="45">
        <v>376</v>
      </c>
      <c r="D17" s="61">
        <v>291</v>
      </c>
      <c r="E17" s="45">
        <f t="shared" si="0"/>
        <v>85</v>
      </c>
      <c r="F17" s="61">
        <v>248</v>
      </c>
      <c r="G17" s="45">
        <f t="shared" si="1"/>
        <v>128</v>
      </c>
      <c r="H17" s="7"/>
    </row>
    <row r="18" spans="2:8" x14ac:dyDescent="0.2">
      <c r="B18" s="5" t="s">
        <v>15</v>
      </c>
      <c r="C18" s="45">
        <v>130</v>
      </c>
      <c r="D18" s="61">
        <v>56</v>
      </c>
      <c r="E18" s="45">
        <f t="shared" si="0"/>
        <v>74</v>
      </c>
      <c r="F18" s="61">
        <v>93</v>
      </c>
      <c r="G18" s="45">
        <f t="shared" si="1"/>
        <v>37</v>
      </c>
      <c r="H18" s="7"/>
    </row>
    <row r="19" spans="2:8" x14ac:dyDescent="0.2">
      <c r="B19" s="5" t="s">
        <v>16</v>
      </c>
      <c r="C19" s="45">
        <v>120</v>
      </c>
      <c r="D19" s="61">
        <v>151</v>
      </c>
      <c r="E19" s="45">
        <f t="shared" si="0"/>
        <v>-31</v>
      </c>
      <c r="F19" s="61">
        <v>138</v>
      </c>
      <c r="G19" s="45">
        <f t="shared" si="1"/>
        <v>-18</v>
      </c>
      <c r="H19" s="7"/>
    </row>
    <row r="20" spans="2:8" x14ac:dyDescent="0.2">
      <c r="B20" s="5" t="s">
        <v>17</v>
      </c>
      <c r="C20" s="45">
        <v>84</v>
      </c>
      <c r="D20" s="61">
        <v>45</v>
      </c>
      <c r="E20" s="45">
        <f t="shared" si="0"/>
        <v>39</v>
      </c>
      <c r="F20" s="61">
        <v>46</v>
      </c>
      <c r="G20" s="45">
        <f t="shared" si="1"/>
        <v>38</v>
      </c>
      <c r="H20" s="7"/>
    </row>
    <row r="21" spans="2:8" x14ac:dyDescent="0.2">
      <c r="B21" s="5" t="s">
        <v>18</v>
      </c>
      <c r="C21" s="45">
        <v>111</v>
      </c>
      <c r="D21" s="61">
        <v>81</v>
      </c>
      <c r="E21" s="45">
        <f t="shared" si="0"/>
        <v>30</v>
      </c>
      <c r="F21" s="61">
        <v>186</v>
      </c>
      <c r="G21" s="45">
        <f t="shared" si="1"/>
        <v>-75</v>
      </c>
      <c r="H21" s="7"/>
    </row>
    <row r="22" spans="2:8" x14ac:dyDescent="0.2">
      <c r="B22" s="5" t="s">
        <v>19</v>
      </c>
      <c r="C22" s="45">
        <v>228</v>
      </c>
      <c r="D22" s="61">
        <v>91</v>
      </c>
      <c r="E22" s="45">
        <f t="shared" si="0"/>
        <v>137</v>
      </c>
      <c r="F22" s="61">
        <v>194</v>
      </c>
      <c r="G22" s="45">
        <f t="shared" si="1"/>
        <v>34</v>
      </c>
      <c r="H22" s="7"/>
    </row>
    <row r="23" spans="2:8" x14ac:dyDescent="0.2">
      <c r="B23" s="5" t="s">
        <v>20</v>
      </c>
      <c r="C23" s="45">
        <v>107</v>
      </c>
      <c r="D23" s="61">
        <v>117</v>
      </c>
      <c r="E23" s="45">
        <f t="shared" si="0"/>
        <v>-10</v>
      </c>
      <c r="F23" s="61">
        <v>142</v>
      </c>
      <c r="G23" s="45">
        <f t="shared" si="1"/>
        <v>-35</v>
      </c>
      <c r="H23" s="7"/>
    </row>
    <row r="24" spans="2:8" x14ac:dyDescent="0.2">
      <c r="B24" s="5" t="s">
        <v>21</v>
      </c>
      <c r="C24" s="45">
        <v>91</v>
      </c>
      <c r="D24" s="61">
        <v>71</v>
      </c>
      <c r="E24" s="45">
        <f t="shared" si="0"/>
        <v>20</v>
      </c>
      <c r="F24" s="61">
        <v>166</v>
      </c>
      <c r="G24" s="45">
        <f t="shared" si="1"/>
        <v>-75</v>
      </c>
      <c r="H24" s="7"/>
    </row>
    <row r="25" spans="2:8" x14ac:dyDescent="0.2">
      <c r="B25" s="5" t="s">
        <v>22</v>
      </c>
      <c r="C25" s="45">
        <v>179</v>
      </c>
      <c r="D25" s="61">
        <v>37</v>
      </c>
      <c r="E25" s="45">
        <f t="shared" si="0"/>
        <v>142</v>
      </c>
      <c r="F25" s="61">
        <v>76</v>
      </c>
      <c r="G25" s="45">
        <f t="shared" si="1"/>
        <v>103</v>
      </c>
      <c r="H25" s="7"/>
    </row>
    <row r="26" spans="2:8" x14ac:dyDescent="0.2">
      <c r="B26" s="5" t="s">
        <v>23</v>
      </c>
      <c r="C26" s="45">
        <v>413</v>
      </c>
      <c r="D26" s="61">
        <v>833</v>
      </c>
      <c r="E26" s="45">
        <f t="shared" si="0"/>
        <v>-420</v>
      </c>
      <c r="F26" s="61">
        <v>628</v>
      </c>
      <c r="G26" s="45">
        <f t="shared" si="1"/>
        <v>-215</v>
      </c>
      <c r="H26" s="7"/>
    </row>
    <row r="27" spans="2:8" x14ac:dyDescent="0.2">
      <c r="B27" s="5" t="s">
        <v>24</v>
      </c>
      <c r="C27" s="45">
        <v>108</v>
      </c>
      <c r="D27" s="61">
        <v>75</v>
      </c>
      <c r="E27" s="45">
        <f t="shared" si="0"/>
        <v>33</v>
      </c>
      <c r="F27" s="61">
        <v>89</v>
      </c>
      <c r="G27" s="45">
        <f t="shared" si="1"/>
        <v>19</v>
      </c>
      <c r="H27" s="7"/>
    </row>
    <row r="28" spans="2:8" ht="17.25" customHeight="1" x14ac:dyDescent="0.25">
      <c r="B28" s="58" t="s">
        <v>25</v>
      </c>
      <c r="C28" s="77">
        <f>SUM(C3:C27)</f>
        <v>4034</v>
      </c>
      <c r="D28" s="63">
        <f>SUM(D3:D27)</f>
        <v>3482</v>
      </c>
      <c r="E28" s="77">
        <f>SUM(E3:E27)</f>
        <v>552</v>
      </c>
      <c r="F28" s="63">
        <f>SUM(F3:F27)</f>
        <v>4270</v>
      </c>
      <c r="G28" s="77">
        <f>SUM(G3:G27)</f>
        <v>-236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T('9oferty p.'!B2)</f>
        <v>powiaty</v>
      </c>
      <c r="D3" s="55" t="str">
        <f>T('9oferty p.'!C2)</f>
        <v>liczba ofert w 02-'24 r.</v>
      </c>
      <c r="E3" s="55" t="str">
        <f>T('9oferty p.'!D2)</f>
        <v>liczba ofert w 01-'24 r.</v>
      </c>
      <c r="F3" s="55" t="str">
        <f>T('9oferty p.'!E2)</f>
        <v>wzrost/spadek do poprzedniego  miesiąca</v>
      </c>
      <c r="G3" s="55" t="str">
        <f>T('9oferty p.'!F2)</f>
        <v>liczba ofert w 02-'23 r.</v>
      </c>
      <c r="H3" s="55" t="str">
        <f>T('9oferty p.'!G2)</f>
        <v>wzrost/spadek do analogicznego okresu ubr.</v>
      </c>
    </row>
    <row r="4" spans="2:8" x14ac:dyDescent="0.2">
      <c r="B4" s="6">
        <f>RANK('9oferty p.'!C3,'9oferty p.'!$C$3:'9oferty p.'!$C$28,1)+COUNTIF('9oferty p.'!$C$3:'9oferty p.'!C3,'9oferty p.'!C3)-1</f>
        <v>5</v>
      </c>
      <c r="C4" s="5" t="str">
        <f>INDEX('9oferty p.'!B3:G28,MATCH(1,B4:B29,0),1)</f>
        <v>leski</v>
      </c>
      <c r="D4" s="25">
        <f>INDEX('9oferty p.'!B3:G28,MATCH(1,B4:B29,0),2)</f>
        <v>34</v>
      </c>
      <c r="E4" s="61">
        <f>INDEX('9oferty p.'!B3:G28,MATCH(1,B4:B29,0),3)</f>
        <v>17</v>
      </c>
      <c r="F4" s="6">
        <f>INDEX('9oferty p.'!B3:G28,MATCH(1,B4:B29,0),4)</f>
        <v>17</v>
      </c>
      <c r="G4" s="61">
        <f>INDEX('9oferty p.'!B3:G28,MATCH(1,B4:B29,0),5)</f>
        <v>35</v>
      </c>
      <c r="H4" s="6">
        <f>INDEX('9oferty p.'!B3:G28,MATCH(1,B4:B29,0),6)</f>
        <v>-1</v>
      </c>
    </row>
    <row r="5" spans="2:8" x14ac:dyDescent="0.2">
      <c r="B5" s="6">
        <f>RANK('9oferty p.'!C4,'9oferty p.'!$C$3:'9oferty p.'!$C$28,1)+COUNTIF('9oferty p.'!$C$3:'9oferty p.'!C4,'9oferty p.'!C4)-1</f>
        <v>4</v>
      </c>
      <c r="C5" s="5" t="str">
        <f>INDEX('9oferty p.'!B3:G28,MATCH(2,B4:B29,0),1)</f>
        <v>krośnieński</v>
      </c>
      <c r="D5" s="6">
        <f>INDEX('9oferty p.'!B3:G28,MATCH(2,B4:B29,0),2)</f>
        <v>62</v>
      </c>
      <c r="E5" s="61">
        <f>INDEX('9oferty p.'!B3:G28,MATCH(2,B4:B29,0),3)</f>
        <v>58</v>
      </c>
      <c r="F5" s="6">
        <f>INDEX('9oferty p.'!B3:G28,MATCH(2,B4:B29,0),4)</f>
        <v>4</v>
      </c>
      <c r="G5" s="61">
        <f>INDEX('9oferty p.'!B3:G28,MATCH(2,B4:B29,0),5)</f>
        <v>98</v>
      </c>
      <c r="H5" s="6">
        <f>INDEX('9oferty p.'!B3:G28,MATCH(2,B4:B29,0),6)</f>
        <v>-36</v>
      </c>
    </row>
    <row r="6" spans="2:8" x14ac:dyDescent="0.2">
      <c r="B6" s="6">
        <f>RANK('9oferty p.'!C5,'9oferty p.'!$C$3:'9oferty p.'!$C$28,1)+COUNTIF('9oferty p.'!$C$3:'9oferty p.'!C5,'9oferty p.'!C5)-1</f>
        <v>19</v>
      </c>
      <c r="C6" s="5" t="str">
        <f>INDEX('9oferty p.'!B3:G28,MATCH(3,B4:B29,0),1)</f>
        <v>przemyski</v>
      </c>
      <c r="D6" s="6">
        <f>INDEX('9oferty p.'!B3:G28,MATCH(3,B4:B29,0),2)</f>
        <v>72</v>
      </c>
      <c r="E6" s="61">
        <f>INDEX('9oferty p.'!B3:G28,MATCH(3,B4:B29,0),3)</f>
        <v>36</v>
      </c>
      <c r="F6" s="6">
        <f>INDEX('9oferty p.'!B3:G28,MATCH(3,B4:B29,0),4)</f>
        <v>36</v>
      </c>
      <c r="G6" s="61">
        <f>INDEX('9oferty p.'!B3:G28,MATCH(3,B4:B29,0),5)</f>
        <v>61</v>
      </c>
      <c r="H6" s="6">
        <f>INDEX('9oferty p.'!B3:G28,MATCH(3,B4:B29,0),6)</f>
        <v>11</v>
      </c>
    </row>
    <row r="7" spans="2:8" x14ac:dyDescent="0.2">
      <c r="B7" s="6">
        <f>RANK('9oferty p.'!C6,'9oferty p.'!$C$3:'9oferty p.'!$C$28,1)+COUNTIF('9oferty p.'!$C$3:'9oferty p.'!C6,'9oferty p.'!C6)-1</f>
        <v>22</v>
      </c>
      <c r="C7" s="5" t="str">
        <f>INDEX('9oferty p.'!B3:G28,MATCH(4,B4:B29,0),1)</f>
        <v>brzozowski</v>
      </c>
      <c r="D7" s="6">
        <f>INDEX('9oferty p.'!B3:G28,MATCH(4,B4:B29,0),2)</f>
        <v>74</v>
      </c>
      <c r="E7" s="61">
        <f>INDEX('9oferty p.'!B3:G28,MATCH(4,B4:B29,0),3)</f>
        <v>30</v>
      </c>
      <c r="F7" s="6">
        <f>INDEX('9oferty p.'!B3:G28,MATCH(4,B4:B29,0),4)</f>
        <v>44</v>
      </c>
      <c r="G7" s="61">
        <f>INDEX('9oferty p.'!B3:G28,MATCH(4,B4:B29,0),5)</f>
        <v>54</v>
      </c>
      <c r="H7" s="6">
        <f>INDEX('9oferty p.'!B3:G28,MATCH(4,B4:B29,0),6)</f>
        <v>20</v>
      </c>
    </row>
    <row r="8" spans="2:8" x14ac:dyDescent="0.2">
      <c r="B8" s="6">
        <f>RANK('9oferty p.'!C7,'9oferty p.'!$C$3:'9oferty p.'!$C$28,1)+COUNTIF('9oferty p.'!$C$3:'9oferty p.'!C7,'9oferty p.'!C7)-1</f>
        <v>21</v>
      </c>
      <c r="C8" s="5" t="str">
        <f>INDEX('9oferty p.'!B3:G28,MATCH(5,B4:B29,0),1)</f>
        <v>bieszczadzki</v>
      </c>
      <c r="D8" s="6">
        <f>INDEX('9oferty p.'!B3:G28,MATCH(5,B4:B29,0),2)</f>
        <v>84</v>
      </c>
      <c r="E8" s="61">
        <f>INDEX('9oferty p.'!B3:G28,MATCH(5,B4:B29,0),3)</f>
        <v>116</v>
      </c>
      <c r="F8" s="6">
        <f>INDEX('9oferty p.'!B3:G28,MATCH(5,B4:B29,0),4)</f>
        <v>-32</v>
      </c>
      <c r="G8" s="61">
        <f>INDEX('9oferty p.'!B3:G28,MATCH(5,B4:B29,0),5)</f>
        <v>72</v>
      </c>
      <c r="H8" s="6">
        <f>INDEX('9oferty p.'!B3:G28,MATCH(5,B4:B29,0),6)</f>
        <v>12</v>
      </c>
    </row>
    <row r="9" spans="2:8" x14ac:dyDescent="0.2">
      <c r="B9" s="6">
        <f>RANK('9oferty p.'!C8,'9oferty p.'!$C$3:'9oferty p.'!$C$28,1)+COUNTIF('9oferty p.'!$C$3:'9oferty p.'!C8,'9oferty p.'!C8)-1</f>
        <v>7</v>
      </c>
      <c r="C9" s="5" t="str">
        <f>INDEX('9oferty p.'!B3:G28,MATCH(6,B4:B29,0),1)</f>
        <v>sanocki</v>
      </c>
      <c r="D9" s="6">
        <f>INDEX('9oferty p.'!B3:G28,MATCH(6,B4:B29,0),2)</f>
        <v>84</v>
      </c>
      <c r="E9" s="61">
        <f>INDEX('9oferty p.'!B3:G28,MATCH(6,B4:B29,0),3)</f>
        <v>45</v>
      </c>
      <c r="F9" s="6">
        <f>INDEX('9oferty p.'!B3:G28,MATCH(6,B4:B29,0),4)</f>
        <v>39</v>
      </c>
      <c r="G9" s="61">
        <f>INDEX('9oferty p.'!B3:G28,MATCH(6,B4:B29,0),5)</f>
        <v>46</v>
      </c>
      <c r="H9" s="6">
        <f>INDEX('9oferty p.'!B3:G28,MATCH(6,B4:B29,0),6)</f>
        <v>38</v>
      </c>
    </row>
    <row r="10" spans="2:8" x14ac:dyDescent="0.2">
      <c r="B10" s="6">
        <f>RANK('9oferty p.'!C9,'9oferty p.'!$C$3:'9oferty p.'!$C$28,1)+COUNTIF('9oferty p.'!$C$3:'9oferty p.'!C9,'9oferty p.'!C9)-1</f>
        <v>2</v>
      </c>
      <c r="C10" s="9" t="str">
        <f>INDEX('9oferty p.'!B3:G28,MATCH(7,B4:B29,0),1)</f>
        <v>kolbuszowski</v>
      </c>
      <c r="D10" s="6">
        <f>INDEX('9oferty p.'!B3:G28,MATCH(7,B4:B29,0),2)</f>
        <v>89</v>
      </c>
      <c r="E10" s="61">
        <f>INDEX('9oferty p.'!B3:G28,MATCH(7,B4:B29,0),3)</f>
        <v>89</v>
      </c>
      <c r="F10" s="6">
        <f>INDEX('9oferty p.'!B3:G28,MATCH(7,B4:B29,0),4)</f>
        <v>0</v>
      </c>
      <c r="G10" s="61">
        <f>INDEX('9oferty p.'!B3:G28,MATCH(7,B4:B29,0),5)</f>
        <v>151</v>
      </c>
      <c r="H10" s="6">
        <f>INDEX('9oferty p.'!B3:G28,MATCH(7,B4:B29,0),6)</f>
        <v>-62</v>
      </c>
    </row>
    <row r="11" spans="2:8" x14ac:dyDescent="0.2">
      <c r="B11" s="6">
        <f>RANK('9oferty p.'!C10,'9oferty p.'!$C$3:'9oferty p.'!$C$28,1)+COUNTIF('9oferty p.'!$C$3:'9oferty p.'!C10,'9oferty p.'!C10)-1</f>
        <v>1</v>
      </c>
      <c r="C11" s="5" t="str">
        <f>INDEX('9oferty p.'!B3:G28,MATCH(8,B4:B29,0),1)</f>
        <v>Krosno</v>
      </c>
      <c r="D11" s="6">
        <f>INDEX('9oferty p.'!B3:G28,MATCH(8,B4:B29,0),2)</f>
        <v>91</v>
      </c>
      <c r="E11" s="61">
        <f>INDEX('9oferty p.'!B3:G28,MATCH(8,B4:B29,0),3)</f>
        <v>71</v>
      </c>
      <c r="F11" s="6">
        <f>INDEX('9oferty p.'!B3:G28,MATCH(8,B4:B29,0),4)</f>
        <v>20</v>
      </c>
      <c r="G11" s="61">
        <f>INDEX('9oferty p.'!B3:G28,MATCH(8,B4:B29,0),5)</f>
        <v>166</v>
      </c>
      <c r="H11" s="6">
        <f>INDEX('9oferty p.'!B3:G28,MATCH(8,B4:B29,0),6)</f>
        <v>-75</v>
      </c>
    </row>
    <row r="12" spans="2:8" x14ac:dyDescent="0.2">
      <c r="B12" s="6">
        <f>RANK('9oferty p.'!C11,'9oferty p.'!$C$3:'9oferty p.'!$C$28,1)+COUNTIF('9oferty p.'!$C$3:'9oferty p.'!C11,'9oferty p.'!C11)-1</f>
        <v>18</v>
      </c>
      <c r="C12" s="5" t="str">
        <f>INDEX('9oferty p.'!B3:G28,MATCH(9,B4:B29,0),1)</f>
        <v xml:space="preserve">tarnobrzeski </v>
      </c>
      <c r="D12" s="6">
        <f>INDEX('9oferty p.'!B3:G28,MATCH(9,B4:B29,0),2)</f>
        <v>107</v>
      </c>
      <c r="E12" s="61">
        <f>INDEX('9oferty p.'!B3:G28,MATCH(9,B4:B29,0),3)</f>
        <v>117</v>
      </c>
      <c r="F12" s="6">
        <f>INDEX('9oferty p.'!B3:G28,MATCH(9,B4:B29,0),4)</f>
        <v>-10</v>
      </c>
      <c r="G12" s="61">
        <f>INDEX('9oferty p.'!B3:G28,MATCH(9,B4:B29,0),5)</f>
        <v>142</v>
      </c>
      <c r="H12" s="6">
        <f>INDEX('9oferty p.'!B3:G28,MATCH(9,B4:B29,0),6)</f>
        <v>-35</v>
      </c>
    </row>
    <row r="13" spans="2:8" x14ac:dyDescent="0.2">
      <c r="B13" s="6">
        <f>RANK('9oferty p.'!C12,'9oferty p.'!$C$3:'9oferty p.'!$C$28,1)+COUNTIF('9oferty p.'!$C$3:'9oferty p.'!C12,'9oferty p.'!C12)-1</f>
        <v>10</v>
      </c>
      <c r="C13" s="5" t="str">
        <f>INDEX('9oferty p.'!B3:G28,MATCH(10,B4:B29,0),1)</f>
        <v>lubaczowski</v>
      </c>
      <c r="D13" s="6">
        <f>INDEX('9oferty p.'!B3:G28,MATCH(10,B4:B29,0),2)</f>
        <v>108</v>
      </c>
      <c r="E13" s="61">
        <f>INDEX('9oferty p.'!B3:G28,MATCH(10,B4:B29,0),3)</f>
        <v>40</v>
      </c>
      <c r="F13" s="6">
        <f>INDEX('9oferty p.'!B3:G28,MATCH(10,B4:B29,0),4)</f>
        <v>68</v>
      </c>
      <c r="G13" s="61">
        <f>INDEX('9oferty p.'!B3:G28,MATCH(10,B4:B29,0),5)</f>
        <v>101</v>
      </c>
      <c r="H13" s="6">
        <f>INDEX('9oferty p.'!B3:G28,MATCH(10,B4:B29,0),6)</f>
        <v>7</v>
      </c>
    </row>
    <row r="14" spans="2:8" x14ac:dyDescent="0.2">
      <c r="B14" s="6">
        <f>RANK('9oferty p.'!C13,'9oferty p.'!$C$3:'9oferty p.'!$C$28,1)+COUNTIF('9oferty p.'!$C$3:'9oferty p.'!C13,'9oferty p.'!C13)-1</f>
        <v>16</v>
      </c>
      <c r="C14" s="5" t="str">
        <f>INDEX('9oferty p.'!B3:G28,MATCH(11,B4:B29,0),1)</f>
        <v>Tarnobrzeg</v>
      </c>
      <c r="D14" s="6">
        <f>INDEX('9oferty p.'!B3:G28,MATCH(11,B4:B29,0),2)</f>
        <v>108</v>
      </c>
      <c r="E14" s="61">
        <f>INDEX('9oferty p.'!B3:G28,MATCH(11,B4:B29,0),3)</f>
        <v>75</v>
      </c>
      <c r="F14" s="6">
        <f>INDEX('9oferty p.'!B3:G28,MATCH(11,B4:B29,0),4)</f>
        <v>33</v>
      </c>
      <c r="G14" s="61">
        <f>INDEX('9oferty p.'!B3:G28,MATCH(11,B4:B29,0),5)</f>
        <v>89</v>
      </c>
      <c r="H14" s="6">
        <f>INDEX('9oferty p.'!B3:G28,MATCH(11,B4:B29,0),6)</f>
        <v>19</v>
      </c>
    </row>
    <row r="15" spans="2:8" x14ac:dyDescent="0.2">
      <c r="B15" s="6">
        <f>RANK('9oferty p.'!C14,'9oferty p.'!$C$3:'9oferty p.'!$C$28,1)+COUNTIF('9oferty p.'!$C$3:'9oferty p.'!C14,'9oferty p.'!C14)-1</f>
        <v>23</v>
      </c>
      <c r="C15" s="5" t="str">
        <f>INDEX('9oferty p.'!B3:G28,MATCH(12,B4:B29,0),1)</f>
        <v>stalowowolski</v>
      </c>
      <c r="D15" s="6">
        <f>INDEX('9oferty p.'!B3:G28,MATCH(12,B4:B29,0),2)</f>
        <v>111</v>
      </c>
      <c r="E15" s="61">
        <f>INDEX('9oferty p.'!B3:G28,MATCH(12,B4:B29,0),3)</f>
        <v>81</v>
      </c>
      <c r="F15" s="6">
        <f>INDEX('9oferty p.'!B3:G28,MATCH(12,B4:B29,0),4)</f>
        <v>30</v>
      </c>
      <c r="G15" s="61">
        <f>INDEX('9oferty p.'!B3:G28,MATCH(12,B4:B29,0),5)</f>
        <v>186</v>
      </c>
      <c r="H15" s="6">
        <f>INDEX('9oferty p.'!B3:G28,MATCH(12,B4:B29,0),6)</f>
        <v>-75</v>
      </c>
    </row>
    <row r="16" spans="2:8" x14ac:dyDescent="0.2">
      <c r="B16" s="6">
        <f>RANK('9oferty p.'!C15,'9oferty p.'!$C$3:'9oferty p.'!$C$28,1)+COUNTIF('9oferty p.'!$C$3:'9oferty p.'!C15,'9oferty p.'!C15)-1</f>
        <v>13</v>
      </c>
      <c r="C16" s="5" t="str">
        <f>INDEX('9oferty p.'!B3:G28,MATCH(13,B4:B29,0),1)</f>
        <v>niżański</v>
      </c>
      <c r="D16" s="6">
        <f>INDEX('9oferty p.'!B3:G28,MATCH(13,B4:B29,0),2)</f>
        <v>120</v>
      </c>
      <c r="E16" s="61">
        <f>INDEX('9oferty p.'!B3:G28,MATCH(13,B4:B29,0),3)</f>
        <v>70</v>
      </c>
      <c r="F16" s="6">
        <f>INDEX('9oferty p.'!B3:G28,MATCH(13,B4:B29,0),4)</f>
        <v>50</v>
      </c>
      <c r="G16" s="61">
        <f>INDEX('9oferty p.'!B3:G28,MATCH(13,B4:B29,0),5)</f>
        <v>122</v>
      </c>
      <c r="H16" s="6">
        <f>INDEX('9oferty p.'!B3:G28,MATCH(13,B4:B29,0),6)</f>
        <v>-2</v>
      </c>
    </row>
    <row r="17" spans="2:8" x14ac:dyDescent="0.2">
      <c r="B17" s="6">
        <f>RANK('9oferty p.'!C16,'9oferty p.'!$C$3:'9oferty p.'!$C$28,1)+COUNTIF('9oferty p.'!$C$3:'9oferty p.'!C16,'9oferty p.'!C16)-1</f>
        <v>3</v>
      </c>
      <c r="C17" s="5" t="str">
        <f>INDEX('9oferty p.'!B3:G28,MATCH(14,B4:B29,0),1)</f>
        <v>rzeszowski</v>
      </c>
      <c r="D17" s="6">
        <f>INDEX('9oferty p.'!B3:G28,MATCH(14,B4:B29,0),2)</f>
        <v>120</v>
      </c>
      <c r="E17" s="61">
        <f>INDEX('9oferty p.'!B3:G28,MATCH(14,B4:B29,0),3)</f>
        <v>151</v>
      </c>
      <c r="F17" s="6">
        <f>INDEX('9oferty p.'!B3:G28,MATCH(14,B4:B29,0),4)</f>
        <v>-31</v>
      </c>
      <c r="G17" s="61">
        <f>INDEX('9oferty p.'!B3:G28,MATCH(14,B4:B29,0),5)</f>
        <v>138</v>
      </c>
      <c r="H17" s="6">
        <f>INDEX('9oferty p.'!B3:G28,MATCH(14,B4:B29,0),6)</f>
        <v>-18</v>
      </c>
    </row>
    <row r="18" spans="2:8" x14ac:dyDescent="0.2">
      <c r="B18" s="6">
        <f>RANK('9oferty p.'!C17,'9oferty p.'!$C$3:'9oferty p.'!$C$28,1)+COUNTIF('9oferty p.'!$C$3:'9oferty p.'!C17,'9oferty p.'!C17)-1</f>
        <v>24</v>
      </c>
      <c r="C18" s="5" t="str">
        <f>INDEX('9oferty p.'!B3:G28,MATCH(15,B4:B29,0),1)</f>
        <v>ropczycko-sędziszowski</v>
      </c>
      <c r="D18" s="6">
        <f>INDEX('9oferty p.'!B3:G28,MATCH(15,B4:B29,0),2)</f>
        <v>130</v>
      </c>
      <c r="E18" s="61">
        <f>INDEX('9oferty p.'!B3:G28,MATCH(15,B4:B29,0),3)</f>
        <v>56</v>
      </c>
      <c r="F18" s="6">
        <f>INDEX('9oferty p.'!B3:G28,MATCH(15,B4:B29,0),4)</f>
        <v>74</v>
      </c>
      <c r="G18" s="61">
        <f>INDEX('9oferty p.'!B3:G28,MATCH(15,B4:B29,0),5)</f>
        <v>93</v>
      </c>
      <c r="H18" s="6">
        <f>INDEX('9oferty p.'!B3:G28,MATCH(15,B4:B29,0),6)</f>
        <v>37</v>
      </c>
    </row>
    <row r="19" spans="2:8" x14ac:dyDescent="0.2">
      <c r="B19" s="6">
        <f>RANK('9oferty p.'!C18,'9oferty p.'!$C$3:'9oferty p.'!$C$28,1)+COUNTIF('9oferty p.'!$C$3:'9oferty p.'!C18,'9oferty p.'!C18)-1</f>
        <v>15</v>
      </c>
      <c r="C19" s="5" t="str">
        <f>INDEX('9oferty p.'!B3:G28,MATCH(16,B4:B29,0),1)</f>
        <v>łańcucki</v>
      </c>
      <c r="D19" s="6">
        <f>INDEX('9oferty p.'!B3:G28,MATCH(16,B4:B29,0),2)</f>
        <v>143</v>
      </c>
      <c r="E19" s="61">
        <f>INDEX('9oferty p.'!B3:G28,MATCH(16,B4:B29,0),3)</f>
        <v>168</v>
      </c>
      <c r="F19" s="6">
        <f>INDEX('9oferty p.'!B3:G28,MATCH(16,B4:B29,0),4)</f>
        <v>-25</v>
      </c>
      <c r="G19" s="61">
        <f>INDEX('9oferty p.'!B3:G28,MATCH(16,B4:B29,0),5)</f>
        <v>150</v>
      </c>
      <c r="H19" s="6">
        <f>INDEX('9oferty p.'!B3:G28,MATCH(16,B4:B29,0),6)</f>
        <v>-7</v>
      </c>
    </row>
    <row r="20" spans="2:8" x14ac:dyDescent="0.2">
      <c r="B20" s="6">
        <f>RANK('9oferty p.'!C19,'9oferty p.'!$C$3:'9oferty p.'!$C$28,1)+COUNTIF('9oferty p.'!$C$3:'9oferty p.'!C19,'9oferty p.'!C19)-1</f>
        <v>14</v>
      </c>
      <c r="C20" s="5" t="str">
        <f>INDEX('9oferty p.'!B3:G28,MATCH(17,B4:B29,0),1)</f>
        <v>Przemyśl</v>
      </c>
      <c r="D20" s="6">
        <f>INDEX('9oferty p.'!B3:G28,MATCH(17,B4:B29,0),2)</f>
        <v>179</v>
      </c>
      <c r="E20" s="61">
        <f>INDEX('9oferty p.'!B3:G28,MATCH(17,B4:B29,0),3)</f>
        <v>37</v>
      </c>
      <c r="F20" s="6">
        <f>INDEX('9oferty p.'!B3:G28,MATCH(17,B4:B29,0),4)</f>
        <v>142</v>
      </c>
      <c r="G20" s="61">
        <f>INDEX('9oferty p.'!B3:G28,MATCH(17,B4:B29,0),5)</f>
        <v>76</v>
      </c>
      <c r="H20" s="6">
        <f>INDEX('9oferty p.'!B3:G28,MATCH(17,B4:B29,0),6)</f>
        <v>103</v>
      </c>
    </row>
    <row r="21" spans="2:8" x14ac:dyDescent="0.2">
      <c r="B21" s="6">
        <f>RANK('9oferty p.'!C20,'9oferty p.'!$C$3:'9oferty p.'!$C$28,1)+COUNTIF('9oferty p.'!$C$3:'9oferty p.'!C20,'9oferty p.'!C20)-1</f>
        <v>6</v>
      </c>
      <c r="C21" s="5" t="str">
        <f>INDEX('9oferty p.'!B3:G28,MATCH(18,B4:B29,0),1)</f>
        <v>leżajski</v>
      </c>
      <c r="D21" s="6">
        <f>INDEX('9oferty p.'!B3:G28,MATCH(18,B4:B29,0),2)</f>
        <v>209</v>
      </c>
      <c r="E21" s="61">
        <f>INDEX('9oferty p.'!B3:G28,MATCH(18,B4:B29,0),3)</f>
        <v>47</v>
      </c>
      <c r="F21" s="6">
        <f>INDEX('9oferty p.'!B3:G28,MATCH(18,B4:B29,0),4)</f>
        <v>162</v>
      </c>
      <c r="G21" s="61">
        <f>INDEX('9oferty p.'!B3:G28,MATCH(18,B4:B29,0),5)</f>
        <v>175</v>
      </c>
      <c r="H21" s="6">
        <f>INDEX('9oferty p.'!B3:G28,MATCH(18,B4:B29,0),6)</f>
        <v>34</v>
      </c>
    </row>
    <row r="22" spans="2:8" x14ac:dyDescent="0.2">
      <c r="B22" s="6">
        <f>RANK('9oferty p.'!C21,'9oferty p.'!$C$3:'9oferty p.'!$C$28,1)+COUNTIF('9oferty p.'!$C$3:'9oferty p.'!C21,'9oferty p.'!C21)-1</f>
        <v>12</v>
      </c>
      <c r="C22" s="5" t="str">
        <f>INDEX('9oferty p.'!B3:G28,MATCH(19,B4:B29,0),1)</f>
        <v>dębicki</v>
      </c>
      <c r="D22" s="6">
        <f>INDEX('9oferty p.'!B3:G28,MATCH(19,B4:B29,0),2)</f>
        <v>226</v>
      </c>
      <c r="E22" s="61">
        <f>INDEX('9oferty p.'!B3:G28,MATCH(19,B4:B29,0),3)</f>
        <v>180</v>
      </c>
      <c r="F22" s="6">
        <f>INDEX('9oferty p.'!B3:G28,MATCH(19,B4:B29,0),4)</f>
        <v>46</v>
      </c>
      <c r="G22" s="61">
        <f>INDEX('9oferty p.'!B3:G28,MATCH(19,B4:B29,0),5)</f>
        <v>282</v>
      </c>
      <c r="H22" s="6">
        <f>INDEX('9oferty p.'!B3:G28,MATCH(19,B4:B29,0),6)</f>
        <v>-56</v>
      </c>
    </row>
    <row r="23" spans="2:8" x14ac:dyDescent="0.2">
      <c r="B23" s="6">
        <f>RANK('9oferty p.'!C22,'9oferty p.'!$C$3:'9oferty p.'!$C$28,1)+COUNTIF('9oferty p.'!$C$3:'9oferty p.'!C22,'9oferty p.'!C22)-1</f>
        <v>20</v>
      </c>
      <c r="C23" s="5" t="str">
        <f>INDEX('9oferty p.'!B3:G28,MATCH(20,B4:B29,0),1)</f>
        <v>strzyżowski</v>
      </c>
      <c r="D23" s="6">
        <f>INDEX('9oferty p.'!B3:G28,MATCH(20,B4:B29,0),2)</f>
        <v>228</v>
      </c>
      <c r="E23" s="61">
        <f>INDEX('9oferty p.'!B3:G28,MATCH(20,B4:B29,0),3)</f>
        <v>91</v>
      </c>
      <c r="F23" s="6">
        <f>INDEX('9oferty p.'!B3:G28,MATCH(20,B4:B29,0),4)</f>
        <v>137</v>
      </c>
      <c r="G23" s="61">
        <f>INDEX('9oferty p.'!B3:G28,MATCH(20,B4:B29,0),5)</f>
        <v>194</v>
      </c>
      <c r="H23" s="6">
        <f>INDEX('9oferty p.'!B3:G28,MATCH(20,B4:B29,0),6)</f>
        <v>34</v>
      </c>
    </row>
    <row r="24" spans="2:8" x14ac:dyDescent="0.2">
      <c r="B24" s="6">
        <f>RANK('9oferty p.'!C23,'9oferty p.'!$C$3:'9oferty p.'!$C$28,1)+COUNTIF('9oferty p.'!$C$3:'9oferty p.'!C23,'9oferty p.'!C23)-1</f>
        <v>9</v>
      </c>
      <c r="C24" s="5" t="str">
        <f>INDEX('9oferty p.'!B3:G28,MATCH(21,B4:B29,0),1)</f>
        <v>jasielski</v>
      </c>
      <c r="D24" s="6">
        <f>INDEX('9oferty p.'!B3:G28,MATCH(21,B4:B29,0),2)</f>
        <v>248</v>
      </c>
      <c r="E24" s="61">
        <f>INDEX('9oferty p.'!B3:G28,MATCH(21,B4:B29,0),3)</f>
        <v>203</v>
      </c>
      <c r="F24" s="6">
        <f>INDEX('9oferty p.'!B3:G28,MATCH(21,B4:B29,0),4)</f>
        <v>45</v>
      </c>
      <c r="G24" s="61">
        <f>INDEX('9oferty p.'!B3:G28,MATCH(21,B4:B29,0),5)</f>
        <v>240</v>
      </c>
      <c r="H24" s="6">
        <f>INDEX('9oferty p.'!B3:G28,MATCH(21,B4:B29,0),6)</f>
        <v>8</v>
      </c>
    </row>
    <row r="25" spans="2:8" x14ac:dyDescent="0.2">
      <c r="B25" s="6">
        <f>RANK('9oferty p.'!C24,'9oferty p.'!$C$3:'9oferty p.'!$C$28,1)+COUNTIF('9oferty p.'!$C$3:'9oferty p.'!C24,'9oferty p.'!C24)-1</f>
        <v>8</v>
      </c>
      <c r="C25" s="5" t="str">
        <f>INDEX('9oferty p.'!B3:G28,MATCH(22,B4:B29,0),1)</f>
        <v>jarosławski</v>
      </c>
      <c r="D25" s="6">
        <f>INDEX('9oferty p.'!B3:G28,MATCH(22,B4:B29,0),2)</f>
        <v>307</v>
      </c>
      <c r="E25" s="61">
        <f>INDEX('9oferty p.'!B3:G28,MATCH(22,B4:B29,0),3)</f>
        <v>165</v>
      </c>
      <c r="F25" s="6">
        <f>INDEX('9oferty p.'!B3:G28,MATCH(22,B4:B29,0),4)</f>
        <v>142</v>
      </c>
      <c r="G25" s="61">
        <f>INDEX('9oferty p.'!B3:G28,MATCH(22,B4:B29,0),5)</f>
        <v>359</v>
      </c>
      <c r="H25" s="6">
        <f>INDEX('9oferty p.'!B3:G28,MATCH(22,B4:B29,0),6)</f>
        <v>-52</v>
      </c>
    </row>
    <row r="26" spans="2:8" x14ac:dyDescent="0.2">
      <c r="B26" s="6">
        <f>RANK('9oferty p.'!C25,'9oferty p.'!$C$3:'9oferty p.'!$C$28,1)+COUNTIF('9oferty p.'!$C$3:'9oferty p.'!C25,'9oferty p.'!C25)-1</f>
        <v>17</v>
      </c>
      <c r="C26" s="5" t="str">
        <f>INDEX('9oferty p.'!B3:G28,MATCH(23,B4:B29,0),1)</f>
        <v>mielecki</v>
      </c>
      <c r="D26" s="6">
        <f>INDEX('9oferty p.'!B3:G28,MATCH(23,B4:B29,0),2)</f>
        <v>311</v>
      </c>
      <c r="E26" s="61">
        <f>INDEX('9oferty p.'!B3:G28,MATCH(23,B4:B29,0),3)</f>
        <v>415</v>
      </c>
      <c r="F26" s="6">
        <f>INDEX('9oferty p.'!B3:G28,MATCH(23,B4:B29,0),4)</f>
        <v>-104</v>
      </c>
      <c r="G26" s="61">
        <f>INDEX('9oferty p.'!B3:G28,MATCH(23,B4:B29,0),5)</f>
        <v>364</v>
      </c>
      <c r="H26" s="6">
        <f>INDEX('9oferty p.'!B3:G28,MATCH(23,B4:B29,0),6)</f>
        <v>-53</v>
      </c>
    </row>
    <row r="27" spans="2:8" x14ac:dyDescent="0.2">
      <c r="B27" s="6">
        <f>RANK('9oferty p.'!C26,'9oferty p.'!$C$3:'9oferty p.'!$C$28,1)+COUNTIF('9oferty p.'!$C$3:'9oferty p.'!C26,'9oferty p.'!C26)-1</f>
        <v>25</v>
      </c>
      <c r="C27" s="5" t="str">
        <f>INDEX('9oferty p.'!B3:G28,MATCH(24,B4:B29,0),1)</f>
        <v>przeworski</v>
      </c>
      <c r="D27" s="6">
        <f>INDEX('9oferty p.'!B3:G28,MATCH(24,B4:B29,0),2)</f>
        <v>376</v>
      </c>
      <c r="E27" s="61">
        <f>INDEX('9oferty p.'!B3:G28,MATCH(24,B4:B29,0),3)</f>
        <v>291</v>
      </c>
      <c r="F27" s="6">
        <f>INDEX('9oferty p.'!B3:G28,MATCH(24,B4:B29,0),4)</f>
        <v>85</v>
      </c>
      <c r="G27" s="61">
        <f>INDEX('9oferty p.'!B3:G28,MATCH(24,B4:B29,0),5)</f>
        <v>248</v>
      </c>
      <c r="H27" s="6">
        <f>INDEX('9oferty p.'!B3:G28,MATCH(24,B4:B29,0),6)</f>
        <v>128</v>
      </c>
    </row>
    <row r="28" spans="2:8" x14ac:dyDescent="0.2">
      <c r="B28" s="6">
        <f>RANK('9oferty p.'!C27,'9oferty p.'!$C$3:'9oferty p.'!$C$28,1)+COUNTIF('9oferty p.'!$C$3:'9oferty p.'!C27,'9oferty p.'!C27)-1</f>
        <v>11</v>
      </c>
      <c r="C28" s="5" t="str">
        <f>INDEX('9oferty p.'!B3:G28,MATCH(25,B4:B29,0),1)</f>
        <v>Rzeszów</v>
      </c>
      <c r="D28" s="6">
        <f>INDEX('9oferty p.'!B3:G28,MATCH(25,B4:B29,0),2)</f>
        <v>413</v>
      </c>
      <c r="E28" s="61">
        <f>INDEX('9oferty p.'!B3:G28,MATCH(25,B4:B29,0),3)</f>
        <v>833</v>
      </c>
      <c r="F28" s="6">
        <f>INDEX('9oferty p.'!B3:G28,MATCH(25,B4:B29,0),4)</f>
        <v>-420</v>
      </c>
      <c r="G28" s="61">
        <f>INDEX('9oferty p.'!B3:G28,MATCH(25,B4:B29,0),5)</f>
        <v>628</v>
      </c>
      <c r="H28" s="6">
        <f>INDEX('9oferty p.'!B3:G28,MATCH(25,B4:B29,0),6)</f>
        <v>-215</v>
      </c>
    </row>
    <row r="29" spans="2:8" ht="15" x14ac:dyDescent="0.25">
      <c r="B29" s="22">
        <f>RANK('9oferty p.'!C28,'9oferty p.'!$C$3:'9oferty p.'!$C$28,1)+COUNTIF('9oferty p.'!$C$3:'9oferty p.'!C28,'9oferty p.'!C28)-1</f>
        <v>26</v>
      </c>
      <c r="C29" s="58" t="str">
        <f>INDEX('9oferty p.'!B3:G28,MATCH(26,B4:B29,0),1)</f>
        <v>województwo</v>
      </c>
      <c r="D29" s="59">
        <f>INDEX('9oferty p.'!B3:G28,MATCH(26,B4:B29,0),2)</f>
        <v>4034</v>
      </c>
      <c r="E29" s="63">
        <f>INDEX('9oferty p.'!B3:G28,MATCH(26,B4:B29,0),3)</f>
        <v>3482</v>
      </c>
      <c r="F29" s="59">
        <f>INDEX('9oferty p.'!B3:G28,MATCH(26,B4:B29,0),4)</f>
        <v>552</v>
      </c>
      <c r="G29" s="63">
        <f>INDEX('9oferty p.'!B3:G28,MATCH(26,B4:B29,0),5)</f>
        <v>4270</v>
      </c>
      <c r="H29" s="59">
        <f>INDEX('9oferty p.'!B3:G28,MATCH(26,B4:B29,0),6)</f>
        <v>-236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4" style="3" customWidth="1"/>
    <col min="10" max="10" width="3.85546875" style="3" customWidth="1"/>
    <col min="11" max="11" width="4.85546875" style="3" customWidth="1"/>
    <col min="12" max="12" width="4.140625" style="3" customWidth="1"/>
    <col min="13" max="13" width="6.5703125" style="3" customWidth="1"/>
    <col min="14" max="16384" width="9.140625" style="3"/>
  </cols>
  <sheetData>
    <row r="1" spans="2:11" ht="15" customHeight="1" x14ac:dyDescent="0.2">
      <c r="B1" s="49" t="s">
        <v>90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91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160</v>
      </c>
      <c r="D3" s="57" t="s">
        <v>136</v>
      </c>
      <c r="E3" s="56" t="s">
        <v>28</v>
      </c>
      <c r="F3" s="57" t="s">
        <v>161</v>
      </c>
      <c r="G3" s="56" t="s">
        <v>26</v>
      </c>
    </row>
    <row r="4" spans="2:11" x14ac:dyDescent="0.2">
      <c r="B4" s="5" t="s">
        <v>0</v>
      </c>
      <c r="C4" s="45">
        <v>80</v>
      </c>
      <c r="D4" s="61">
        <v>58</v>
      </c>
      <c r="E4" s="45">
        <f t="shared" ref="E4:E28" si="0">SUM(C4)-D4</f>
        <v>22</v>
      </c>
      <c r="F4" s="61">
        <v>66</v>
      </c>
      <c r="G4" s="45">
        <f t="shared" ref="G4:G28" si="1">SUM(C4)-F4</f>
        <v>14</v>
      </c>
      <c r="H4" s="7"/>
    </row>
    <row r="5" spans="2:11" x14ac:dyDescent="0.2">
      <c r="B5" s="5" t="s">
        <v>1</v>
      </c>
      <c r="C5" s="45">
        <v>72</v>
      </c>
      <c r="D5" s="61">
        <v>25</v>
      </c>
      <c r="E5" s="45">
        <f t="shared" si="0"/>
        <v>47</v>
      </c>
      <c r="F5" s="61">
        <v>46</v>
      </c>
      <c r="G5" s="45">
        <f t="shared" si="1"/>
        <v>26</v>
      </c>
      <c r="H5" s="7"/>
    </row>
    <row r="6" spans="2:11" x14ac:dyDescent="0.2">
      <c r="B6" s="5" t="s">
        <v>2</v>
      </c>
      <c r="C6" s="45">
        <v>88</v>
      </c>
      <c r="D6" s="61">
        <v>12</v>
      </c>
      <c r="E6" s="45">
        <f t="shared" si="0"/>
        <v>76</v>
      </c>
      <c r="F6" s="61">
        <v>88</v>
      </c>
      <c r="G6" s="45">
        <f t="shared" si="1"/>
        <v>0</v>
      </c>
      <c r="H6" s="7"/>
    </row>
    <row r="7" spans="2:11" x14ac:dyDescent="0.2">
      <c r="B7" s="5" t="s">
        <v>3</v>
      </c>
      <c r="C7" s="45">
        <v>258</v>
      </c>
      <c r="D7" s="61">
        <v>8</v>
      </c>
      <c r="E7" s="45">
        <f t="shared" si="0"/>
        <v>250</v>
      </c>
      <c r="F7" s="61">
        <v>281</v>
      </c>
      <c r="G7" s="45">
        <f t="shared" si="1"/>
        <v>-23</v>
      </c>
      <c r="H7" s="7"/>
    </row>
    <row r="8" spans="2:11" x14ac:dyDescent="0.2">
      <c r="B8" s="5" t="s">
        <v>4</v>
      </c>
      <c r="C8" s="45">
        <v>137</v>
      </c>
      <c r="D8" s="61">
        <v>62</v>
      </c>
      <c r="E8" s="45">
        <f t="shared" si="0"/>
        <v>75</v>
      </c>
      <c r="F8" s="61">
        <v>123</v>
      </c>
      <c r="G8" s="45">
        <f t="shared" si="1"/>
        <v>14</v>
      </c>
      <c r="H8" s="7"/>
    </row>
    <row r="9" spans="2:11" x14ac:dyDescent="0.2">
      <c r="B9" s="5" t="s">
        <v>5</v>
      </c>
      <c r="C9" s="45">
        <v>36</v>
      </c>
      <c r="D9" s="61">
        <v>9</v>
      </c>
      <c r="E9" s="45">
        <f t="shared" si="0"/>
        <v>27</v>
      </c>
      <c r="F9" s="61">
        <v>78</v>
      </c>
      <c r="G9" s="45">
        <f t="shared" si="1"/>
        <v>-42</v>
      </c>
      <c r="H9" s="7"/>
    </row>
    <row r="10" spans="2:11" x14ac:dyDescent="0.2">
      <c r="B10" s="9" t="s">
        <v>6</v>
      </c>
      <c r="C10" s="45">
        <v>48</v>
      </c>
      <c r="D10" s="61">
        <v>12</v>
      </c>
      <c r="E10" s="45">
        <f t="shared" si="0"/>
        <v>36</v>
      </c>
      <c r="F10" s="61">
        <v>33</v>
      </c>
      <c r="G10" s="45">
        <f t="shared" si="1"/>
        <v>15</v>
      </c>
      <c r="H10" s="7"/>
    </row>
    <row r="11" spans="2:11" x14ac:dyDescent="0.2">
      <c r="B11" s="5" t="s">
        <v>7</v>
      </c>
      <c r="C11" s="45">
        <v>21</v>
      </c>
      <c r="D11" s="61">
        <v>0</v>
      </c>
      <c r="E11" s="45">
        <f t="shared" si="0"/>
        <v>21</v>
      </c>
      <c r="F11" s="61">
        <v>26</v>
      </c>
      <c r="G11" s="45">
        <f t="shared" si="1"/>
        <v>-5</v>
      </c>
      <c r="H11" s="7"/>
    </row>
    <row r="12" spans="2:11" x14ac:dyDescent="0.2">
      <c r="B12" s="5" t="s">
        <v>8</v>
      </c>
      <c r="C12" s="45">
        <v>183</v>
      </c>
      <c r="D12" s="61">
        <v>8</v>
      </c>
      <c r="E12" s="45">
        <f t="shared" si="0"/>
        <v>175</v>
      </c>
      <c r="F12" s="61">
        <v>113</v>
      </c>
      <c r="G12" s="45">
        <f t="shared" si="1"/>
        <v>70</v>
      </c>
      <c r="H12" s="7"/>
    </row>
    <row r="13" spans="2:11" x14ac:dyDescent="0.2">
      <c r="B13" s="5" t="s">
        <v>9</v>
      </c>
      <c r="C13" s="45">
        <v>93</v>
      </c>
      <c r="D13" s="61">
        <v>13</v>
      </c>
      <c r="E13" s="45">
        <f t="shared" si="0"/>
        <v>80</v>
      </c>
      <c r="F13" s="61">
        <v>79</v>
      </c>
      <c r="G13" s="45">
        <f t="shared" si="1"/>
        <v>14</v>
      </c>
      <c r="H13" s="7"/>
    </row>
    <row r="14" spans="2:11" x14ac:dyDescent="0.2">
      <c r="B14" s="5" t="s">
        <v>10</v>
      </c>
      <c r="C14" s="45">
        <v>99</v>
      </c>
      <c r="D14" s="61">
        <v>136</v>
      </c>
      <c r="E14" s="45">
        <f t="shared" si="0"/>
        <v>-37</v>
      </c>
      <c r="F14" s="61">
        <v>123</v>
      </c>
      <c r="G14" s="45">
        <f t="shared" si="1"/>
        <v>-24</v>
      </c>
      <c r="H14" s="7"/>
    </row>
    <row r="15" spans="2:11" x14ac:dyDescent="0.2">
      <c r="B15" s="5" t="s">
        <v>11</v>
      </c>
      <c r="C15" s="45">
        <v>178</v>
      </c>
      <c r="D15" s="61">
        <v>16</v>
      </c>
      <c r="E15" s="45">
        <f t="shared" si="0"/>
        <v>162</v>
      </c>
      <c r="F15" s="61">
        <v>130</v>
      </c>
      <c r="G15" s="45">
        <f t="shared" si="1"/>
        <v>48</v>
      </c>
      <c r="H15" s="7"/>
    </row>
    <row r="16" spans="2:11" x14ac:dyDescent="0.2">
      <c r="B16" s="5" t="s">
        <v>12</v>
      </c>
      <c r="C16" s="45">
        <v>107</v>
      </c>
      <c r="D16" s="61">
        <v>25</v>
      </c>
      <c r="E16" s="45">
        <f t="shared" si="0"/>
        <v>82</v>
      </c>
      <c r="F16" s="61">
        <v>69</v>
      </c>
      <c r="G16" s="45">
        <f t="shared" si="1"/>
        <v>38</v>
      </c>
      <c r="H16" s="7"/>
    </row>
    <row r="17" spans="2:8" x14ac:dyDescent="0.2">
      <c r="B17" s="5" t="s">
        <v>13</v>
      </c>
      <c r="C17" s="45">
        <v>68</v>
      </c>
      <c r="D17" s="61">
        <v>26</v>
      </c>
      <c r="E17" s="45">
        <f t="shared" si="0"/>
        <v>42</v>
      </c>
      <c r="F17" s="61">
        <v>48</v>
      </c>
      <c r="G17" s="45">
        <f t="shared" si="1"/>
        <v>20</v>
      </c>
      <c r="H17" s="7"/>
    </row>
    <row r="18" spans="2:8" x14ac:dyDescent="0.2">
      <c r="B18" s="5" t="s">
        <v>14</v>
      </c>
      <c r="C18" s="45">
        <v>200</v>
      </c>
      <c r="D18" s="61">
        <v>147</v>
      </c>
      <c r="E18" s="45">
        <f t="shared" si="0"/>
        <v>53</v>
      </c>
      <c r="F18" s="61">
        <v>144</v>
      </c>
      <c r="G18" s="45">
        <f t="shared" si="1"/>
        <v>56</v>
      </c>
      <c r="H18" s="7"/>
    </row>
    <row r="19" spans="2:8" x14ac:dyDescent="0.2">
      <c r="B19" s="5" t="s">
        <v>15</v>
      </c>
      <c r="C19" s="45">
        <v>100</v>
      </c>
      <c r="D19" s="61">
        <v>26</v>
      </c>
      <c r="E19" s="45">
        <f t="shared" si="0"/>
        <v>74</v>
      </c>
      <c r="F19" s="61">
        <v>49</v>
      </c>
      <c r="G19" s="45">
        <f t="shared" si="1"/>
        <v>51</v>
      </c>
      <c r="H19" s="7"/>
    </row>
    <row r="20" spans="2:8" x14ac:dyDescent="0.2">
      <c r="B20" s="5" t="s">
        <v>16</v>
      </c>
      <c r="C20" s="45">
        <v>29</v>
      </c>
      <c r="D20" s="61">
        <v>14</v>
      </c>
      <c r="E20" s="45">
        <f t="shared" si="0"/>
        <v>15</v>
      </c>
      <c r="F20" s="61">
        <v>34</v>
      </c>
      <c r="G20" s="45">
        <f t="shared" si="1"/>
        <v>-5</v>
      </c>
      <c r="H20" s="7"/>
    </row>
    <row r="21" spans="2:8" x14ac:dyDescent="0.2">
      <c r="B21" s="5" t="s">
        <v>17</v>
      </c>
      <c r="C21" s="45">
        <v>31</v>
      </c>
      <c r="D21" s="61">
        <v>17</v>
      </c>
      <c r="E21" s="45">
        <f t="shared" si="0"/>
        <v>14</v>
      </c>
      <c r="F21" s="61">
        <v>26</v>
      </c>
      <c r="G21" s="45">
        <f t="shared" si="1"/>
        <v>5</v>
      </c>
      <c r="H21" s="7"/>
    </row>
    <row r="22" spans="2:8" x14ac:dyDescent="0.2">
      <c r="B22" s="5" t="s">
        <v>18</v>
      </c>
      <c r="C22" s="45">
        <v>93</v>
      </c>
      <c r="D22" s="61">
        <v>17</v>
      </c>
      <c r="E22" s="45">
        <f t="shared" si="0"/>
        <v>76</v>
      </c>
      <c r="F22" s="61">
        <v>75</v>
      </c>
      <c r="G22" s="45">
        <f t="shared" si="1"/>
        <v>18</v>
      </c>
      <c r="H22" s="7"/>
    </row>
    <row r="23" spans="2:8" x14ac:dyDescent="0.2">
      <c r="B23" s="5" t="s">
        <v>19</v>
      </c>
      <c r="C23" s="45">
        <v>173</v>
      </c>
      <c r="D23" s="61">
        <v>18</v>
      </c>
      <c r="E23" s="45">
        <f t="shared" si="0"/>
        <v>155</v>
      </c>
      <c r="F23" s="61">
        <v>143</v>
      </c>
      <c r="G23" s="45">
        <f t="shared" si="1"/>
        <v>30</v>
      </c>
      <c r="H23" s="7"/>
    </row>
    <row r="24" spans="2:8" x14ac:dyDescent="0.2">
      <c r="B24" s="5" t="s">
        <v>20</v>
      </c>
      <c r="C24" s="45">
        <v>64</v>
      </c>
      <c r="D24" s="61">
        <v>58</v>
      </c>
      <c r="E24" s="45">
        <f t="shared" si="0"/>
        <v>6</v>
      </c>
      <c r="F24" s="61">
        <v>98</v>
      </c>
      <c r="G24" s="45">
        <f t="shared" si="1"/>
        <v>-34</v>
      </c>
      <c r="H24" s="7"/>
    </row>
    <row r="25" spans="2:8" x14ac:dyDescent="0.2">
      <c r="B25" s="5" t="s">
        <v>21</v>
      </c>
      <c r="C25" s="45">
        <v>54</v>
      </c>
      <c r="D25" s="61">
        <v>36</v>
      </c>
      <c r="E25" s="45">
        <f t="shared" si="0"/>
        <v>18</v>
      </c>
      <c r="F25" s="61">
        <v>74</v>
      </c>
      <c r="G25" s="45">
        <f t="shared" si="1"/>
        <v>-20</v>
      </c>
      <c r="H25" s="7"/>
    </row>
    <row r="26" spans="2:8" x14ac:dyDescent="0.2">
      <c r="B26" s="5" t="s">
        <v>22</v>
      </c>
      <c r="C26" s="45">
        <v>147</v>
      </c>
      <c r="D26" s="61">
        <v>17</v>
      </c>
      <c r="E26" s="45">
        <f t="shared" si="0"/>
        <v>130</v>
      </c>
      <c r="F26" s="61">
        <v>49</v>
      </c>
      <c r="G26" s="45">
        <f t="shared" si="1"/>
        <v>98</v>
      </c>
      <c r="H26" s="7"/>
    </row>
    <row r="27" spans="2:8" x14ac:dyDescent="0.2">
      <c r="B27" s="5" t="s">
        <v>23</v>
      </c>
      <c r="C27" s="45">
        <v>76</v>
      </c>
      <c r="D27" s="61">
        <v>37</v>
      </c>
      <c r="E27" s="45">
        <f t="shared" si="0"/>
        <v>39</v>
      </c>
      <c r="F27" s="61">
        <v>97</v>
      </c>
      <c r="G27" s="45">
        <f t="shared" si="1"/>
        <v>-21</v>
      </c>
      <c r="H27" s="7"/>
    </row>
    <row r="28" spans="2:8" x14ac:dyDescent="0.2">
      <c r="B28" s="5" t="s">
        <v>24</v>
      </c>
      <c r="C28" s="45">
        <v>78</v>
      </c>
      <c r="D28" s="61">
        <v>33</v>
      </c>
      <c r="E28" s="45">
        <f t="shared" si="0"/>
        <v>45</v>
      </c>
      <c r="F28" s="61">
        <v>61</v>
      </c>
      <c r="G28" s="45">
        <f t="shared" si="1"/>
        <v>17</v>
      </c>
      <c r="H28" s="7"/>
    </row>
    <row r="29" spans="2:8" ht="15" x14ac:dyDescent="0.25">
      <c r="B29" s="58" t="s">
        <v>25</v>
      </c>
      <c r="C29" s="77">
        <f>SUM(C4:C28)</f>
        <v>2513</v>
      </c>
      <c r="D29" s="63">
        <f>SUM(D4:D28)</f>
        <v>830</v>
      </c>
      <c r="E29" s="77">
        <f>SUM(E4:E28)</f>
        <v>1683</v>
      </c>
      <c r="F29" s="63">
        <f>SUM(F4:F28)</f>
        <v>2153</v>
      </c>
      <c r="G29" s="77">
        <f>SUM(G4:G28)</f>
        <v>360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G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5.42578125" style="3" customWidth="1"/>
    <col min="4" max="4" width="15" style="3" customWidth="1"/>
    <col min="5" max="5" width="15.28515625" style="3" customWidth="1"/>
    <col min="6" max="6" width="14.85546875" style="3" customWidth="1"/>
    <col min="7" max="7" width="15.5703125" style="3" customWidth="1"/>
    <col min="8" max="8" width="17" style="3" customWidth="1"/>
    <col min="9" max="9" width="2.42578125" style="3" customWidth="1"/>
    <col min="10" max="10" width="2.57031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7109375" style="3" customWidth="1"/>
    <col min="21" max="21" width="2.42578125" style="3" customWidth="1"/>
    <col min="22" max="22" width="7.85546875" style="3" customWidth="1"/>
    <col min="23" max="23" width="16.140625" style="3" customWidth="1"/>
    <col min="24" max="24" width="16.42578125" style="3" customWidth="1"/>
    <col min="25" max="25" width="4.7109375" style="3" customWidth="1"/>
    <col min="26" max="26" width="22.42578125" style="3" customWidth="1"/>
    <col min="27" max="27" width="6.5703125" style="3" customWidth="1"/>
    <col min="28" max="28" width="15.140625" style="3" customWidth="1"/>
    <col min="29" max="29" width="13.140625" style="3" customWidth="1"/>
    <col min="30" max="30" width="4" style="3" customWidth="1"/>
    <col min="31" max="31" width="7.5703125" style="3" customWidth="1"/>
    <col min="32" max="32" width="13.42578125" style="3" customWidth="1"/>
    <col min="33" max="33" width="12.7109375" style="3" customWidth="1"/>
    <col min="34" max="16384" width="9.140625" style="3"/>
  </cols>
  <sheetData>
    <row r="1" spans="2:33" x14ac:dyDescent="0.2">
      <c r="B1" s="2" t="s">
        <v>32</v>
      </c>
      <c r="V1" s="2" t="s">
        <v>112</v>
      </c>
      <c r="AA1" s="2" t="s">
        <v>113</v>
      </c>
    </row>
    <row r="2" spans="2:33" ht="15" x14ac:dyDescent="0.2">
      <c r="C2" s="20"/>
      <c r="D2" s="21"/>
      <c r="W2" s="20"/>
      <c r="X2" s="21"/>
      <c r="Y2" s="21"/>
      <c r="AB2" s="20"/>
      <c r="AC2" s="21"/>
    </row>
    <row r="3" spans="2:33" ht="69" customHeight="1" x14ac:dyDescent="0.2">
      <c r="B3" s="62" t="s">
        <v>86</v>
      </c>
      <c r="C3" s="55" t="str">
        <f>T('1bezr.'!B2)</f>
        <v>powiaty</v>
      </c>
      <c r="D3" s="56" t="str">
        <f>T('1bezr.'!C2)</f>
        <v>liczba bezrobotnych ogółem stan na 29-02-'24 r.</v>
      </c>
      <c r="E3" s="57" t="str">
        <f>T('1bezr.'!D2)</f>
        <v>liczba bezrobotnych ogółem stan na 31-01-'24 r.</v>
      </c>
      <c r="F3" s="56" t="str">
        <f>T('1bezr.'!E2)</f>
        <v>wzrost/spadek do miesiąca poprzedniego</v>
      </c>
      <c r="G3" s="57" t="str">
        <f>T('1bezr.'!F2)</f>
        <v>liczba bezrobotnych ogółem stan na 28-02-'23 r.</v>
      </c>
      <c r="H3" s="56" t="str">
        <f>T('1bezr.'!G2)</f>
        <v>wzrost/spadek do analogicznego okresu ubr.</v>
      </c>
      <c r="V3" s="62" t="s">
        <v>86</v>
      </c>
      <c r="W3" s="55" t="str">
        <f>T('1bezr.'!B2)</f>
        <v>powiaty</v>
      </c>
      <c r="X3" s="56" t="str">
        <f>T('1bezr.'!E2)</f>
        <v>wzrost/spadek do miesiąca poprzedniego</v>
      </c>
      <c r="Y3" s="280"/>
      <c r="AA3" s="62" t="s">
        <v>86</v>
      </c>
      <c r="AB3" s="55" t="str">
        <f>T('1bezr.'!B2)</f>
        <v>powiaty</v>
      </c>
      <c r="AC3" s="55" t="str">
        <f>T('1bezr.'!C2)</f>
        <v>liczba bezrobotnych ogółem stan na 29-02-'24 r.</v>
      </c>
      <c r="AE3" s="62" t="s">
        <v>86</v>
      </c>
      <c r="AF3" s="55" t="str">
        <f>T('1bezr.'!B2)</f>
        <v>powiaty</v>
      </c>
      <c r="AG3" s="55" t="str">
        <f>T('1bezr.'!C2)</f>
        <v>liczba bezrobotnych ogółem stan na 29-02-'24 r.</v>
      </c>
    </row>
    <row r="4" spans="2:33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5">
        <f>INDEX('1bezr.'!B3:G28,MATCH(1,B4:B29,0),2)</f>
        <v>906</v>
      </c>
      <c r="E4" s="61">
        <f>INDEX('1bezr.'!B3:G28,MATCH(1,B4:B29,0),3)</f>
        <v>891</v>
      </c>
      <c r="F4" s="6">
        <f>INDEX('1bezr.'!B3:G28,MATCH(1,B4:B29,0),4)</f>
        <v>15</v>
      </c>
      <c r="G4" s="61">
        <f>INDEX('1bezr.'!B3:G28,MATCH(1,B4:B29,0),5)</f>
        <v>802</v>
      </c>
      <c r="H4" s="6">
        <f>INDEX('1bezr.'!B3:G28,MATCH(1,B4:B29,0),6)</f>
        <v>104</v>
      </c>
      <c r="V4" s="6">
        <f>RANK('1bezr.'!E3,'1bezr.'!$E$3:'1bezr.'!$E$28,1)+COUNTIF('1bezr.'!$E$3:'1bezr.'!E3,'1bezr.'!E3)-1</f>
        <v>6</v>
      </c>
      <c r="W4" s="284" t="str">
        <f>INDEX('1bezr.'!B3:G28,MATCH(1,V4:V29,0),1)</f>
        <v>województwo</v>
      </c>
      <c r="X4" s="285">
        <f>INDEX('1bezr.'!E3:G28,MATCH(1,V4:V29,0),1)</f>
        <v>-276</v>
      </c>
      <c r="Y4" s="281"/>
      <c r="Z4" s="2"/>
      <c r="AA4" s="6">
        <f>RANK('1bezr.'!C3,'1bezr.'!$C$3:'1bezr.'!$C$28,1)+COUNTIF('1bezr.'!$C$3:'1bezr.'!C3,'1bezr.'!C3)-1</f>
        <v>2</v>
      </c>
      <c r="AB4" s="276" t="str">
        <f>INDEX('1bezr.'!B3:G28,MATCH(25,AA4:AA29,0),1)</f>
        <v>jasielski</v>
      </c>
      <c r="AC4" s="6">
        <f>INDEX('1bezr.'!B3:G28,MATCH(25,AA4:AA29,0),2)</f>
        <v>5253</v>
      </c>
      <c r="AE4" s="6">
        <f>RANK('1bezr.'!C3,'1bezr.'!$C$3:'1bezr.'!$C$28,1)+COUNTIF('1bezr.'!$C$3:'1bezr.'!C3,'1bezr.'!C3)-1</f>
        <v>2</v>
      </c>
      <c r="AF4" s="276" t="str">
        <f>INDEX('1bezr.'!B3:G28,MATCH(1,AE4:AE29,0),1)</f>
        <v>Krosno</v>
      </c>
      <c r="AG4" s="6">
        <f>INDEX('1bezr.'!B3:K28,MATCH(1,AE4:AE29,0),2)</f>
        <v>906</v>
      </c>
    </row>
    <row r="5" spans="2:33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1085</v>
      </c>
      <c r="E5" s="61">
        <f>INDEX('1bezr.'!B3:G28,MATCH(2,B4:B29,0),3)</f>
        <v>1132</v>
      </c>
      <c r="F5" s="6">
        <f>INDEX('1bezr.'!B3:G28,MATCH(2,B4:B29,0),4)</f>
        <v>-47</v>
      </c>
      <c r="G5" s="61">
        <f>INDEX('1bezr.'!B3:G28,MATCH(2,B4:B29,0),5)</f>
        <v>1168</v>
      </c>
      <c r="H5" s="6">
        <f>INDEX('1bezr.'!B3:G28,MATCH(2,B4:B29,0),6)</f>
        <v>-83</v>
      </c>
      <c r="V5" s="6">
        <f>RANK('1bezr.'!E4,'1bezr.'!$E$3:'1bezr.'!$E$28,1)+COUNTIF('1bezr.'!$E$3:'1bezr.'!E4,'1bezr.'!E4)-1</f>
        <v>13</v>
      </c>
      <c r="W5" s="78" t="str">
        <f>INDEX('1bezr.'!B3:G28,MATCH(2,V4:V29,0),1)</f>
        <v>jasielski</v>
      </c>
      <c r="X5" s="6">
        <f>INDEX('1bezr.'!E3:G28,MATCH(2,V4:V29,0),1)</f>
        <v>-140</v>
      </c>
      <c r="Y5" s="282">
        <v>1</v>
      </c>
      <c r="Z5" s="2"/>
      <c r="AA5" s="6">
        <f>RANK('1bezr.'!C4,'1bezr.'!$C$3:'1bezr.'!$C$28,1)+COUNTIF('1bezr.'!$C$3:'1bezr.'!C4,'1bezr.'!C4)-1</f>
        <v>21</v>
      </c>
      <c r="AB5" s="276" t="str">
        <f>INDEX('1bezr.'!B3:G28,MATCH(24,AA4:AA29,0),1)</f>
        <v>Rzeszów</v>
      </c>
      <c r="AC5" s="6">
        <f>INDEX('1bezr.'!B3:K28,MATCH(24,AA4:AA29,0),2)</f>
        <v>5182</v>
      </c>
      <c r="AE5" s="6">
        <f>RANK('1bezr.'!C4,'1bezr.'!$C$3:'1bezr.'!$C$28,1)+COUNTIF('1bezr.'!$C$3:'1bezr.'!C4,'1bezr.'!C4)-1</f>
        <v>21</v>
      </c>
      <c r="AF5" s="276" t="str">
        <f>INDEX('1bezr.'!B3:G28,MATCH(2,AE4:AE29,0),1)</f>
        <v>bieszczadzki</v>
      </c>
      <c r="AG5" s="6">
        <f>INDEX('1bezr.'!B3:K28,MATCH(2,AE4:AE29,0),2)</f>
        <v>1085</v>
      </c>
    </row>
    <row r="6" spans="2:33" x14ac:dyDescent="0.2">
      <c r="B6" s="6">
        <f>RANK('1bezr.'!C5,'1bezr.'!$C$3:'1bezr.'!$C$28,1)+COUNTIF('1bezr.'!$C$3:'1bezr.'!C5,'1bezr.'!C5)-1</f>
        <v>11</v>
      </c>
      <c r="C6" s="5" t="str">
        <f>INDEX('1bezr.'!B3:G28,MATCH(3,B4:B29,0),1)</f>
        <v>Tarnobrzeg</v>
      </c>
      <c r="D6" s="6">
        <f>INDEX('1bezr.'!B3:G28,MATCH(3,B4:B29,0),2)</f>
        <v>1161</v>
      </c>
      <c r="E6" s="61">
        <f>INDEX('1bezr.'!B3:G28,MATCH(3,B4:B29,0),3)</f>
        <v>1159</v>
      </c>
      <c r="F6" s="6">
        <f>INDEX('1bezr.'!B3:G28,MATCH(3,B4:B29,0),4)</f>
        <v>2</v>
      </c>
      <c r="G6" s="61">
        <f>INDEX('1bezr.'!B3:G28,MATCH(3,B4:B29,0),5)</f>
        <v>1155</v>
      </c>
      <c r="H6" s="6">
        <f>INDEX('1bezr.'!B3:G28,MATCH(3,B4:B29,0),6)</f>
        <v>6</v>
      </c>
      <c r="V6" s="6">
        <f>RANK('1bezr.'!E5,'1bezr.'!$E$3:'1bezr.'!$E$28,1)+COUNTIF('1bezr.'!$E$3:'1bezr.'!E5,'1bezr.'!E5)-1</f>
        <v>14</v>
      </c>
      <c r="W6" s="78" t="str">
        <f>INDEX('1bezr.'!B3:G28,MATCH(3,V4:V29,0),1)</f>
        <v>niżański</v>
      </c>
      <c r="X6" s="6">
        <f>INDEX('1bezr.'!E3:G28,MATCH(3,V4:V29,0),1)</f>
        <v>-104</v>
      </c>
      <c r="Y6" s="282">
        <v>2</v>
      </c>
      <c r="Z6" s="2"/>
      <c r="AA6" s="6">
        <f>RANK('1bezr.'!C5,'1bezr.'!$C$3:'1bezr.'!$C$28,1)+COUNTIF('1bezr.'!$C$3:'1bezr.'!C5,'1bezr.'!C5)-1</f>
        <v>11</v>
      </c>
      <c r="AB6" s="276" t="str">
        <f>INDEX('1bezr.'!B3:G28,MATCH(23,AA4:AA29,0),1)</f>
        <v>rzeszowski</v>
      </c>
      <c r="AC6" s="6">
        <f>INDEX('1bezr.'!B3:K28,MATCH(23,AA4:AA29,0),2)</f>
        <v>4809</v>
      </c>
      <c r="AE6" s="6">
        <f>RANK('1bezr.'!C5,'1bezr.'!$C$3:'1bezr.'!$C$28,1)+COUNTIF('1bezr.'!$C$3:'1bezr.'!C5,'1bezr.'!C5)-1</f>
        <v>11</v>
      </c>
      <c r="AF6" s="276" t="str">
        <f>INDEX('1bezr.'!B3:G28,MATCH(3,AE4:AE29,0),1)</f>
        <v>Tarnobrzeg</v>
      </c>
      <c r="AG6" s="6">
        <f>INDEX('1bezr.'!B3:K28,MATCH(3,AE4:AE29,0),2)</f>
        <v>1161</v>
      </c>
    </row>
    <row r="7" spans="2:33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1359</v>
      </c>
      <c r="E7" s="61">
        <f>INDEX('1bezr.'!B3:G28,MATCH(4,B4:B29,0),3)</f>
        <v>1347</v>
      </c>
      <c r="F7" s="6">
        <f>INDEX('1bezr.'!B3:G28,MATCH(4,B4:B29,0),4)</f>
        <v>12</v>
      </c>
      <c r="G7" s="61">
        <f>INDEX('1bezr.'!B3:G28,MATCH(4,B4:B29,0),5)</f>
        <v>1376</v>
      </c>
      <c r="H7" s="6">
        <f>INDEX('1bezr.'!B3:G28,MATCH(4,B4:B29,0),6)</f>
        <v>-17</v>
      </c>
      <c r="V7" s="6">
        <f>RANK('1bezr.'!E6,'1bezr.'!$E$3:'1bezr.'!$E$28,1)+COUNTIF('1bezr.'!$E$3:'1bezr.'!E6,'1bezr.'!E6)-1</f>
        <v>9</v>
      </c>
      <c r="W7" s="78" t="str">
        <f>INDEX('1bezr.'!B3:G28,MATCH(4,V4:V29,0),1)</f>
        <v>przeworski</v>
      </c>
      <c r="X7" s="6">
        <f>INDEX('1bezr.'!E3:G28,MATCH(4,V4:V29,0),1)</f>
        <v>-66</v>
      </c>
      <c r="Y7" s="282">
        <v>3</v>
      </c>
      <c r="Z7" s="2"/>
      <c r="AA7" s="6">
        <f>RANK('1bezr.'!C6,'1bezr.'!$C$3:'1bezr.'!$C$28,1)+COUNTIF('1bezr.'!$C$3:'1bezr.'!C6,'1bezr.'!C6)-1</f>
        <v>22</v>
      </c>
      <c r="AB7" s="276" t="str">
        <f>INDEX('1bezr.'!B3:G28,MATCH(22,AA4:AA29,0),1)</f>
        <v>jarosławski</v>
      </c>
      <c r="AC7" s="6">
        <f>INDEX('1bezr.'!B3:K28,MATCH(22,AA4:AA29,0),2)</f>
        <v>4569</v>
      </c>
      <c r="AE7" s="6">
        <f>RANK('1bezr.'!C6,'1bezr.'!$C$3:'1bezr.'!$C$28,1)+COUNTIF('1bezr.'!$C$3:'1bezr.'!C6,'1bezr.'!C6)-1</f>
        <v>22</v>
      </c>
      <c r="AF7" s="276" t="str">
        <f>INDEX('1bezr.'!B3:G28,MATCH(4,AE4:AE29,0),1)</f>
        <v xml:space="preserve">tarnobrzeski </v>
      </c>
      <c r="AG7" s="6">
        <f>INDEX('1bezr.'!B3:K28,MATCH(4,AE4:AE29,0),2)</f>
        <v>1359</v>
      </c>
    </row>
    <row r="8" spans="2:33" x14ac:dyDescent="0.2">
      <c r="B8" s="6">
        <f>RANK('1bezr.'!C7,'1bezr.'!$C$3:'1bezr.'!$C$28,1)+COUNTIF('1bezr.'!$C$3:'1bezr.'!C7,'1bezr.'!C7)-1</f>
        <v>25</v>
      </c>
      <c r="C8" s="5" t="str">
        <f>INDEX('1bezr.'!B3:G28,MATCH(5,B4:B29,0),1)</f>
        <v>kolbuszowski</v>
      </c>
      <c r="D8" s="6">
        <f>INDEX('1bezr.'!B3:G28,MATCH(5,B4:B29,0),2)</f>
        <v>1620</v>
      </c>
      <c r="E8" s="61">
        <f>INDEX('1bezr.'!B3:G28,MATCH(5,B4:B29,0),3)</f>
        <v>1563</v>
      </c>
      <c r="F8" s="6">
        <f>INDEX('1bezr.'!B3:G28,MATCH(5,B4:B29,0),4)</f>
        <v>57</v>
      </c>
      <c r="G8" s="61">
        <f>INDEX('1bezr.'!B3:G28,MATCH(5,B4:B29,0),5)</f>
        <v>1710</v>
      </c>
      <c r="H8" s="6">
        <f>INDEX('1bezr.'!B3:G28,MATCH(5,B4:B29,0),6)</f>
        <v>-90</v>
      </c>
      <c r="V8" s="6">
        <f>RANK('1bezr.'!E7,'1bezr.'!$E$3:'1bezr.'!$E$28,1)+COUNTIF('1bezr.'!$E$3:'1bezr.'!E7,'1bezr.'!E7)-1</f>
        <v>2</v>
      </c>
      <c r="W8" s="78" t="str">
        <f>INDEX('1bezr.'!B3:G28,MATCH(5,V4:V29,0),1)</f>
        <v>strzyżowski</v>
      </c>
      <c r="X8" s="6">
        <f>INDEX('1bezr.'!E3:G28,MATCH(5,V4:V29,0),1)</f>
        <v>-59</v>
      </c>
      <c r="Y8" s="282">
        <v>4</v>
      </c>
      <c r="Z8" s="2"/>
      <c r="AA8" s="6">
        <f>RANK('1bezr.'!C7,'1bezr.'!$C$3:'1bezr.'!$C$28,1)+COUNTIF('1bezr.'!$C$3:'1bezr.'!C7,'1bezr.'!C7)-1</f>
        <v>25</v>
      </c>
      <c r="AB8" s="276" t="str">
        <f>INDEX('1bezr.'!B3:G28,MATCH(21,AA4:AA29,0),1)</f>
        <v>brzozowski</v>
      </c>
      <c r="AC8" s="6">
        <f>INDEX('1bezr.'!B3:K28,MATCH(21,AA4:AA29,0),2)</f>
        <v>3957</v>
      </c>
      <c r="AE8" s="6">
        <f>RANK('1bezr.'!C7,'1bezr.'!$C$3:'1bezr.'!$C$28,1)+COUNTIF('1bezr.'!$C$3:'1bezr.'!C7,'1bezr.'!C7)-1</f>
        <v>25</v>
      </c>
      <c r="AF8" s="276" t="str">
        <f>INDEX('1bezr.'!B3:G28,MATCH(5,AE4:AE29,0),1)</f>
        <v>kolbuszowski</v>
      </c>
      <c r="AG8" s="6">
        <f>INDEX('1bezr.'!B3:K28,MATCH(5,AE4:AE29,0),2)</f>
        <v>1620</v>
      </c>
    </row>
    <row r="9" spans="2:33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1788</v>
      </c>
      <c r="E9" s="61">
        <f>INDEX('1bezr.'!B3:G28,MATCH(6,B4:B29,0),3)</f>
        <v>1788</v>
      </c>
      <c r="F9" s="6">
        <f>INDEX('1bezr.'!B3:G28,MATCH(6,B4:B29,0),4)</f>
        <v>0</v>
      </c>
      <c r="G9" s="61">
        <f>INDEX('1bezr.'!B3:G28,MATCH(6,B4:B29,0),5)</f>
        <v>1813</v>
      </c>
      <c r="H9" s="6">
        <f>INDEX('1bezr.'!B3:G28,MATCH(6,B4:B29,0),6)</f>
        <v>-25</v>
      </c>
      <c r="V9" s="6">
        <f>RANK('1bezr.'!E8,'1bezr.'!$E$3:'1bezr.'!$E$28,1)+COUNTIF('1bezr.'!$E$3:'1bezr.'!E8,'1bezr.'!E8)-1</f>
        <v>24</v>
      </c>
      <c r="W9" s="78" t="str">
        <f>INDEX('1bezr.'!B3:G28,MATCH(6,V4:V29,0),1)</f>
        <v>bieszczadzki</v>
      </c>
      <c r="X9" s="6">
        <f>INDEX('1bezr.'!E3:G28,MATCH(6,V4:V29,0),1)</f>
        <v>-47</v>
      </c>
      <c r="Y9" s="282">
        <v>5</v>
      </c>
      <c r="Z9" s="2"/>
      <c r="AA9" s="6">
        <f>RANK('1bezr.'!C8,'1bezr.'!$C$3:'1bezr.'!$C$28,1)+COUNTIF('1bezr.'!$C$3:'1bezr.'!C8,'1bezr.'!C8)-1</f>
        <v>5</v>
      </c>
      <c r="AB9" s="276" t="str">
        <f>INDEX('1bezr.'!B3:G28,MATCH(20,AA4:AA29,0),1)</f>
        <v>przeworski</v>
      </c>
      <c r="AC9" s="6">
        <f>INDEX('1bezr.'!B3:K28,MATCH(20,AA4:AA29,0),2)</f>
        <v>3401</v>
      </c>
      <c r="AE9" s="6">
        <f>RANK('1bezr.'!C8,'1bezr.'!$C$3:'1bezr.'!$C$28,1)+COUNTIF('1bezr.'!$C$3:'1bezr.'!C8,'1bezr.'!C8)-1</f>
        <v>5</v>
      </c>
      <c r="AF9" s="276" t="str">
        <f>INDEX('1bezr.'!B3:G28,MATCH(6,AE4:AE29,0),1)</f>
        <v>leski</v>
      </c>
      <c r="AG9" s="6">
        <f>INDEX('1bezr.'!B3:K28,MATCH(6,AE4:AE29,0),2)</f>
        <v>1788</v>
      </c>
    </row>
    <row r="10" spans="2:33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1903</v>
      </c>
      <c r="E10" s="61">
        <f>INDEX('1bezr.'!B3:G28,MATCH(7,B4:B29,0),3)</f>
        <v>1943</v>
      </c>
      <c r="F10" s="6">
        <f>INDEX('1bezr.'!B3:G28,MATCH(7,B4:B29,0),4)</f>
        <v>-40</v>
      </c>
      <c r="G10" s="61">
        <f>INDEX('1bezr.'!B3:G28,MATCH(7,B4:B29,0),5)</f>
        <v>1954</v>
      </c>
      <c r="H10" s="6">
        <f>INDEX('1bezr.'!B3:G28,MATCH(7,B4:B29,0),6)</f>
        <v>-51</v>
      </c>
      <c r="V10" s="6">
        <f>RANK('1bezr.'!E9,'1bezr.'!$E$3:'1bezr.'!$E$28,1)+COUNTIF('1bezr.'!$E$3:'1bezr.'!E9,'1bezr.'!E9)-1</f>
        <v>26</v>
      </c>
      <c r="W10" s="79" t="str">
        <f>INDEX('1bezr.'!B3:G28,MATCH(7,V4:V29,0),1)</f>
        <v>lubaczowski</v>
      </c>
      <c r="X10" s="6">
        <f>INDEX('1bezr.'!E3:G28,MATCH(7,V4:V29,0),1)</f>
        <v>-40</v>
      </c>
      <c r="Y10" s="282">
        <v>6</v>
      </c>
      <c r="Z10" s="2"/>
      <c r="AA10" s="6">
        <f>RANK('1bezr.'!C9,'1bezr.'!$C$3:'1bezr.'!$C$28,1)+COUNTIF('1bezr.'!$C$3:'1bezr.'!C9,'1bezr.'!C9)-1</f>
        <v>9</v>
      </c>
      <c r="AB10" s="277" t="str">
        <f>INDEX('1bezr.'!B3:G28,MATCH(19,AA4:AA29,0),1)</f>
        <v>leżajski</v>
      </c>
      <c r="AC10" s="6">
        <f>INDEX('1bezr.'!B3:K28,MATCH(19,AA4:AA29,0),2)</f>
        <v>3279</v>
      </c>
      <c r="AE10" s="6">
        <f>RANK('1bezr.'!C9,'1bezr.'!$C$3:'1bezr.'!$C$28,1)+COUNTIF('1bezr.'!$C$3:'1bezr.'!C9,'1bezr.'!C9)-1</f>
        <v>9</v>
      </c>
      <c r="AF10" s="277" t="str">
        <f>INDEX('1bezr.'!B3:G28,MATCH(7,AE4:AE29,0),1)</f>
        <v>lubaczowski</v>
      </c>
      <c r="AG10" s="6">
        <f>INDEX('1bezr.'!B3:K28,MATCH(7,AE4:AE29,0),2)</f>
        <v>1903</v>
      </c>
    </row>
    <row r="11" spans="2:33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2079</v>
      </c>
      <c r="E11" s="61">
        <f>INDEX('1bezr.'!B3:G28,MATCH(8,B4:B29,0),3)</f>
        <v>2063</v>
      </c>
      <c r="F11" s="6">
        <f>INDEX('1bezr.'!B3:G28,MATCH(8,B4:B29,0),4)</f>
        <v>16</v>
      </c>
      <c r="G11" s="61">
        <f>INDEX('1bezr.'!B3:G28,MATCH(8,B4:B29,0),5)</f>
        <v>2013</v>
      </c>
      <c r="H11" s="6">
        <f>INDEX('1bezr.'!B3:G28,MATCH(8,B4:B29,0),6)</f>
        <v>66</v>
      </c>
      <c r="V11" s="6">
        <f>RANK('1bezr.'!E10,'1bezr.'!$E$3:'1bezr.'!$E$28,1)+COUNTIF('1bezr.'!$E$3:'1bezr.'!E10,'1bezr.'!E10)-1</f>
        <v>15</v>
      </c>
      <c r="W11" s="78" t="str">
        <f>INDEX('1bezr.'!B3:G28,MATCH(8,V4:V29,0),1)</f>
        <v>przemyski</v>
      </c>
      <c r="X11" s="6">
        <f>INDEX('1bezr.'!E3:G28,MATCH(8,V4:V29,0),1)</f>
        <v>-37</v>
      </c>
      <c r="Y11" s="282">
        <v>7</v>
      </c>
      <c r="Z11" s="2"/>
      <c r="AA11" s="6">
        <f>RANK('1bezr.'!C10,'1bezr.'!$C$3:'1bezr.'!$C$28,1)+COUNTIF('1bezr.'!$C$3:'1bezr.'!C10,'1bezr.'!C10)-1</f>
        <v>6</v>
      </c>
      <c r="AB11" s="276" t="str">
        <f>INDEX('1bezr.'!B3:G28,MATCH(18,AA4:AA29,0),1)</f>
        <v>strzyżowski</v>
      </c>
      <c r="AC11" s="6">
        <f>INDEX('1bezr.'!B3:K28,MATCH(18,AA4:AA29,0),2)</f>
        <v>3236</v>
      </c>
      <c r="AE11" s="6">
        <f>RANK('1bezr.'!C10,'1bezr.'!$C$3:'1bezr.'!$C$28,1)+COUNTIF('1bezr.'!$C$3:'1bezr.'!C10,'1bezr.'!C10)-1</f>
        <v>6</v>
      </c>
      <c r="AF11" s="276" t="str">
        <f>INDEX('1bezr.'!B3:G28,MATCH(8,AE4:AE29,0),1)</f>
        <v>stalowowolski</v>
      </c>
      <c r="AG11" s="6">
        <f>INDEX('1bezr.'!B3:K28,MATCH(8,AE4:AE29,0),2)</f>
        <v>2079</v>
      </c>
    </row>
    <row r="12" spans="2:33" x14ac:dyDescent="0.2">
      <c r="B12" s="6">
        <f>RANK('1bezr.'!C11,'1bezr.'!$C$3:'1bezr.'!$C$28,1)+COUNTIF('1bezr.'!$C$3:'1bezr.'!C11,'1bezr.'!C11)-1</f>
        <v>19</v>
      </c>
      <c r="C12" s="5" t="str">
        <f>INDEX('1bezr.'!B3:G28,MATCH(9,B4:B29,0),1)</f>
        <v>krośnieński</v>
      </c>
      <c r="D12" s="6">
        <f>INDEX('1bezr.'!B3:G28,MATCH(9,B4:B29,0),2)</f>
        <v>2504</v>
      </c>
      <c r="E12" s="61">
        <f>INDEX('1bezr.'!B3:G28,MATCH(9,B4:B29,0),3)</f>
        <v>2437</v>
      </c>
      <c r="F12" s="6">
        <f>INDEX('1bezr.'!B3:G28,MATCH(9,B4:B29,0),4)</f>
        <v>67</v>
      </c>
      <c r="G12" s="61">
        <f>INDEX('1bezr.'!B3:G28,MATCH(9,B4:B29,0),5)</f>
        <v>2228</v>
      </c>
      <c r="H12" s="6">
        <f>INDEX('1bezr.'!B3:G28,MATCH(9,B4:B29,0),6)</f>
        <v>276</v>
      </c>
      <c r="V12" s="6">
        <f>RANK('1bezr.'!E11,'1bezr.'!$E$3:'1bezr.'!$E$28,1)+COUNTIF('1bezr.'!$E$3:'1bezr.'!E11,'1bezr.'!E11)-1</f>
        <v>20</v>
      </c>
      <c r="W12" s="78" t="str">
        <f>INDEX('1bezr.'!B3:G28,MATCH(9,V4:V29,0),1)</f>
        <v>jarosławski</v>
      </c>
      <c r="X12" s="6">
        <f>INDEX('1bezr.'!E3:G28,MATCH(9,V4:V29,0),1)</f>
        <v>-35</v>
      </c>
      <c r="Y12" s="282">
        <v>8</v>
      </c>
      <c r="Z12" s="2"/>
      <c r="AA12" s="6">
        <f>RANK('1bezr.'!C11,'1bezr.'!$C$3:'1bezr.'!$C$28,1)+COUNTIF('1bezr.'!$C$3:'1bezr.'!C11,'1bezr.'!C11)-1</f>
        <v>19</v>
      </c>
      <c r="AB12" s="276" t="str">
        <f>INDEX('1bezr.'!B3:G28,MATCH(17,AA4:AA29,0),1)</f>
        <v>niżański</v>
      </c>
      <c r="AC12" s="6">
        <f>INDEX('1bezr.'!B3:K28,MATCH(17,AA4:AA29,0),2)</f>
        <v>3129</v>
      </c>
      <c r="AE12" s="6">
        <f>RANK('1bezr.'!C11,'1bezr.'!$C$3:'1bezr.'!$C$28,1)+COUNTIF('1bezr.'!$C$3:'1bezr.'!C11,'1bezr.'!C11)-1</f>
        <v>19</v>
      </c>
      <c r="AF12" s="276" t="str">
        <f>INDEX('1bezr.'!B3:G28,MATCH(9,AE4:AE29,0),1)</f>
        <v>krośnieński</v>
      </c>
      <c r="AG12" s="6">
        <f>INDEX('1bezr.'!B3:K28,MATCH(9,AE4:AE29,0),2)</f>
        <v>2504</v>
      </c>
    </row>
    <row r="13" spans="2:33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2506</v>
      </c>
      <c r="E13" s="61">
        <f>INDEX('1bezr.'!B3:G28,MATCH(10,B4:B29,0),3)</f>
        <v>2534</v>
      </c>
      <c r="F13" s="6">
        <f>INDEX('1bezr.'!B3:G28,MATCH(10,B4:B29,0),4)</f>
        <v>-28</v>
      </c>
      <c r="G13" s="61">
        <f>INDEX('1bezr.'!B3:G28,MATCH(10,B4:B29,0),5)</f>
        <v>2556</v>
      </c>
      <c r="H13" s="6">
        <f>INDEX('1bezr.'!B3:G28,MATCH(10,B4:B29,0),6)</f>
        <v>-50</v>
      </c>
      <c r="V13" s="6">
        <f>RANK('1bezr.'!E12,'1bezr.'!$E$3:'1bezr.'!$E$28,1)+COUNTIF('1bezr.'!$E$3:'1bezr.'!E12,'1bezr.'!E12)-1</f>
        <v>7</v>
      </c>
      <c r="W13" s="78" t="str">
        <f>INDEX('1bezr.'!B3:G28,MATCH(10,V4:V29,0),1)</f>
        <v>łańcucki</v>
      </c>
      <c r="X13" s="6">
        <f>INDEX('1bezr.'!E3:G28,MATCH(10,V4:V29,0),1)</f>
        <v>-31</v>
      </c>
      <c r="Y13" s="282">
        <v>9</v>
      </c>
      <c r="Z13" s="166"/>
      <c r="AA13" s="6">
        <f>RANK('1bezr.'!C12,'1bezr.'!$C$3:'1bezr.'!$C$28,1)+COUNTIF('1bezr.'!$C$3:'1bezr.'!C12,'1bezr.'!C12)-1</f>
        <v>7</v>
      </c>
      <c r="AB13" s="276" t="str">
        <f>INDEX('1bezr.'!B3:G28,MATCH(16,AA4:AA29,0),1)</f>
        <v>przemyski</v>
      </c>
      <c r="AC13" s="6">
        <f>INDEX('1bezr.'!B3:K28,MATCH(16,AA4:AA29,0),2)</f>
        <v>3107</v>
      </c>
      <c r="AE13" s="6">
        <f>RANK('1bezr.'!C12,'1bezr.'!$C$3:'1bezr.'!$C$28,1)+COUNTIF('1bezr.'!$C$3:'1bezr.'!C12,'1bezr.'!C12)-1</f>
        <v>7</v>
      </c>
      <c r="AF13" s="276" t="str">
        <f>INDEX('1bezr.'!B3:G28,MATCH(10,AE4:AE29,0),1)</f>
        <v>Przemyśl</v>
      </c>
      <c r="AG13" s="6">
        <f>INDEX('1bezr.'!B3:K28,MATCH(10,AE4:AE29,0),2)</f>
        <v>2506</v>
      </c>
    </row>
    <row r="14" spans="2:33" x14ac:dyDescent="0.2">
      <c r="B14" s="6">
        <f>RANK('1bezr.'!C13,'1bezr.'!$C$3:'1bezr.'!$C$28,1)+COUNTIF('1bezr.'!$C$3:'1bezr.'!C13,'1bezr.'!C13)-1</f>
        <v>13</v>
      </c>
      <c r="C14" s="5" t="str">
        <f>INDEX('1bezr.'!B3:G28,MATCH(11,B4:B29,0),1)</f>
        <v>dębicki</v>
      </c>
      <c r="D14" s="6">
        <f>INDEX('1bezr.'!B3:G28,MATCH(11,B4:B29,0),2)</f>
        <v>2617</v>
      </c>
      <c r="E14" s="61">
        <f>INDEX('1bezr.'!B3:G28,MATCH(11,B4:B29,0),3)</f>
        <v>2625</v>
      </c>
      <c r="F14" s="6">
        <f>INDEX('1bezr.'!B3:G28,MATCH(11,B4:B29,0),4)</f>
        <v>-8</v>
      </c>
      <c r="G14" s="61">
        <f>INDEX('1bezr.'!B3:G28,MATCH(11,B4:B29,0),5)</f>
        <v>2632</v>
      </c>
      <c r="H14" s="6">
        <f>INDEX('1bezr.'!B3:G28,MATCH(11,B4:B29,0),6)</f>
        <v>-15</v>
      </c>
      <c r="V14" s="6">
        <f>RANK('1bezr.'!E13,'1bezr.'!$E$3:'1bezr.'!$E$28,1)+COUNTIF('1bezr.'!$E$3:'1bezr.'!E13,'1bezr.'!E13)-1</f>
        <v>10</v>
      </c>
      <c r="W14" s="78" t="str">
        <f>INDEX('1bezr.'!B3:G28,MATCH(11,V4:V29,0),1)</f>
        <v>ropczycko-sędziszowski</v>
      </c>
      <c r="X14" s="6">
        <f>INDEX('1bezr.'!E3:G28,MATCH(11,V4:V29,0),1)</f>
        <v>-30</v>
      </c>
      <c r="Y14" s="282">
        <v>10</v>
      </c>
      <c r="Z14" s="2"/>
      <c r="AA14" s="6">
        <f>RANK('1bezr.'!C13,'1bezr.'!$C$3:'1bezr.'!$C$28,1)+COUNTIF('1bezr.'!$C$3:'1bezr.'!C13,'1bezr.'!C13)-1</f>
        <v>13</v>
      </c>
      <c r="AB14" s="276" t="str">
        <f>INDEX('1bezr.'!B3:G28,MATCH(15,AA4:AA29,0),1)</f>
        <v>mielecki</v>
      </c>
      <c r="AC14" s="6">
        <f>INDEX('1bezr.'!B3:K28,MATCH(15,AA4:AA29,0),2)</f>
        <v>3037</v>
      </c>
      <c r="AE14" s="6">
        <f>RANK('1bezr.'!C13,'1bezr.'!$C$3:'1bezr.'!$C$28,1)+COUNTIF('1bezr.'!$C$3:'1bezr.'!C13,'1bezr.'!C13)-1</f>
        <v>13</v>
      </c>
      <c r="AF14" s="276" t="str">
        <f>INDEX('1bezr.'!B3:G28,MATCH(11,AE4:AE29,0),1)</f>
        <v>dębicki</v>
      </c>
      <c r="AG14" s="6">
        <f>INDEX('1bezr.'!B3:K28,MATCH(11,AE4:AE29,0),2)</f>
        <v>2617</v>
      </c>
    </row>
    <row r="15" spans="2:33" x14ac:dyDescent="0.2">
      <c r="B15" s="6">
        <f>RANK('1bezr.'!C14,'1bezr.'!$C$3:'1bezr.'!$C$28,1)+COUNTIF('1bezr.'!$C$3:'1bezr.'!C14,'1bezr.'!C14)-1</f>
        <v>15</v>
      </c>
      <c r="C15" s="5" t="str">
        <f>INDEX('1bezr.'!B3:G28,MATCH(12,B4:B29,0),1)</f>
        <v>ropczycko-sędziszowski</v>
      </c>
      <c r="D15" s="6">
        <f>INDEX('1bezr.'!B3:G28,MATCH(12,B4:B29,0),2)</f>
        <v>2677</v>
      </c>
      <c r="E15" s="61">
        <f>INDEX('1bezr.'!B3:G28,MATCH(12,B4:B29,0),3)</f>
        <v>2707</v>
      </c>
      <c r="F15" s="6">
        <f>INDEX('1bezr.'!B3:G28,MATCH(12,B4:B29,0),4)</f>
        <v>-30</v>
      </c>
      <c r="G15" s="61">
        <f>INDEX('1bezr.'!B3:G28,MATCH(12,B4:B29,0),5)</f>
        <v>2836</v>
      </c>
      <c r="H15" s="6">
        <f>INDEX('1bezr.'!B3:G28,MATCH(12,B4:B29,0),6)</f>
        <v>-159</v>
      </c>
      <c r="V15" s="6">
        <f>RANK('1bezr.'!E14,'1bezr.'!$E$3:'1bezr.'!$E$28,1)+COUNTIF('1bezr.'!$E$3:'1bezr.'!E14,'1bezr.'!E14)-1</f>
        <v>22</v>
      </c>
      <c r="W15" s="78" t="str">
        <f>INDEX('1bezr.'!B3:G28,MATCH(12,V4:V29,0),1)</f>
        <v>Przemyśl</v>
      </c>
      <c r="X15" s="6">
        <f>INDEX('1bezr.'!E3:G28,MATCH(12,V4:V29,0),1)</f>
        <v>-28</v>
      </c>
      <c r="Y15" s="282">
        <v>11</v>
      </c>
      <c r="Z15" s="2"/>
      <c r="AA15" s="6">
        <f>RANK('1bezr.'!C14,'1bezr.'!$C$3:'1bezr.'!$C$28,1)+COUNTIF('1bezr.'!$C$3:'1bezr.'!C14,'1bezr.'!C14)-1</f>
        <v>15</v>
      </c>
      <c r="AB15" s="276" t="str">
        <f>INDEX('1bezr.'!B3:G28,MATCH(14,AA4:AA29,0),1)</f>
        <v>sanocki</v>
      </c>
      <c r="AC15" s="6">
        <f>INDEX('1bezr.'!B3:K28,MATCH(14,AA4:AA29,0),2)</f>
        <v>2908</v>
      </c>
      <c r="AE15" s="6">
        <f>RANK('1bezr.'!C14,'1bezr.'!$C$3:'1bezr.'!$C$28,1)+COUNTIF('1bezr.'!$C$3:'1bezr.'!C14,'1bezr.'!C14)-1</f>
        <v>15</v>
      </c>
      <c r="AF15" s="276" t="str">
        <f>INDEX('1bezr.'!B3:G28,MATCH(12,AE4:AE29,0),1)</f>
        <v>ropczycko-sędziszowski</v>
      </c>
      <c r="AG15" s="6">
        <f>INDEX('1bezr.'!B3:K28,MATCH(12,AE4:AE29,0),2)</f>
        <v>2677</v>
      </c>
    </row>
    <row r="16" spans="2:33" x14ac:dyDescent="0.2">
      <c r="B16" s="6">
        <f>RANK('1bezr.'!C15,'1bezr.'!$C$3:'1bezr.'!$C$28,1)+COUNTIF('1bezr.'!$C$3:'1bezr.'!C15,'1bezr.'!C15)-1</f>
        <v>17</v>
      </c>
      <c r="C16" s="5" t="str">
        <f>INDEX('1bezr.'!B3:G28,MATCH(13,B4:B29,0),1)</f>
        <v>łańcucki</v>
      </c>
      <c r="D16" s="6">
        <f>INDEX('1bezr.'!B3:G28,MATCH(13,B4:B29,0),2)</f>
        <v>2679</v>
      </c>
      <c r="E16" s="61">
        <f>INDEX('1bezr.'!B3:G28,MATCH(13,B4:B29,0),3)</f>
        <v>2710</v>
      </c>
      <c r="F16" s="6">
        <f>INDEX('1bezr.'!B3:G28,MATCH(13,B4:B29,0),4)</f>
        <v>-31</v>
      </c>
      <c r="G16" s="61">
        <f>INDEX('1bezr.'!B3:G28,MATCH(13,B4:B29,0),5)</f>
        <v>2797</v>
      </c>
      <c r="H16" s="6">
        <f>INDEX('1bezr.'!B3:G28,MATCH(13,B4:B29,0),6)</f>
        <v>-118</v>
      </c>
      <c r="V16" s="6">
        <f>RANK('1bezr.'!E15,'1bezr.'!$E$3:'1bezr.'!$E$28,1)+COUNTIF('1bezr.'!$E$3:'1bezr.'!E15,'1bezr.'!E15)-1</f>
        <v>3</v>
      </c>
      <c r="W16" s="78" t="str">
        <f>INDEX('1bezr.'!B3:G28,MATCH(13,V4:V29,0),1)</f>
        <v>brzozowski</v>
      </c>
      <c r="X16" s="6">
        <f>INDEX('1bezr.'!E3:G28,MATCH(13,V4:V29,0),1)</f>
        <v>-18</v>
      </c>
      <c r="Y16" s="282">
        <v>12</v>
      </c>
      <c r="Z16" s="2"/>
      <c r="AA16" s="6">
        <f>RANK('1bezr.'!C15,'1bezr.'!$C$3:'1bezr.'!$C$28,1)+COUNTIF('1bezr.'!$C$3:'1bezr.'!C15,'1bezr.'!C15)-1</f>
        <v>17</v>
      </c>
      <c r="AB16" s="276" t="str">
        <f>INDEX('1bezr.'!B3:G28,MATCH(13,AA4:AA29,0),1)</f>
        <v>łańcucki</v>
      </c>
      <c r="AC16" s="6">
        <f>INDEX('1bezr.'!B3:K28,MATCH(13,AA4:AA29,0),2)</f>
        <v>2679</v>
      </c>
      <c r="AE16" s="6">
        <f>RANK('1bezr.'!C15,'1bezr.'!$C$3:'1bezr.'!$C$28,1)+COUNTIF('1bezr.'!$C$3:'1bezr.'!C15,'1bezr.'!C15)-1</f>
        <v>17</v>
      </c>
      <c r="AF16" s="276" t="str">
        <f>INDEX('1bezr.'!B3:G28,MATCH(13,AE4:AE29,0),1)</f>
        <v>łańcucki</v>
      </c>
      <c r="AG16" s="6">
        <f>INDEX('1bezr.'!B3:K28,MATCH(13,AE4:AE29,0),2)</f>
        <v>2679</v>
      </c>
    </row>
    <row r="17" spans="2:33" x14ac:dyDescent="0.2">
      <c r="B17" s="6">
        <f>RANK('1bezr.'!C16,'1bezr.'!$C$3:'1bezr.'!$C$28,1)+COUNTIF('1bezr.'!$C$3:'1bezr.'!C16,'1bezr.'!C16)-1</f>
        <v>16</v>
      </c>
      <c r="C17" s="5" t="str">
        <f>INDEX('1bezr.'!B3:G28,MATCH(14,B4:B29,0),1)</f>
        <v>sanocki</v>
      </c>
      <c r="D17" s="6">
        <f>INDEX('1bezr.'!B3:G28,MATCH(14,B4:B29,0),2)</f>
        <v>2908</v>
      </c>
      <c r="E17" s="61">
        <f>INDEX('1bezr.'!B3:G28,MATCH(14,B4:B29,0),3)</f>
        <v>2879</v>
      </c>
      <c r="F17" s="6">
        <f>INDEX('1bezr.'!B3:G28,MATCH(14,B4:B29,0),4)</f>
        <v>29</v>
      </c>
      <c r="G17" s="61">
        <f>INDEX('1bezr.'!B3:G28,MATCH(14,B4:B29,0),5)</f>
        <v>2840</v>
      </c>
      <c r="H17" s="6">
        <f>INDEX('1bezr.'!B3:G28,MATCH(14,B4:B29,0),6)</f>
        <v>68</v>
      </c>
      <c r="V17" s="6">
        <f>RANK('1bezr.'!E16,'1bezr.'!$E$3:'1bezr.'!$E$28,1)+COUNTIF('1bezr.'!$E$3:'1bezr.'!E16,'1bezr.'!E16)-1</f>
        <v>8</v>
      </c>
      <c r="W17" s="78" t="str">
        <f>INDEX('1bezr.'!B3:G28,MATCH(14,V4:V29,0),1)</f>
        <v>dębicki</v>
      </c>
      <c r="X17" s="6">
        <f>INDEX('1bezr.'!E3:G28,MATCH(14,V4:V29,0),1)</f>
        <v>-8</v>
      </c>
      <c r="Y17" s="282">
        <v>13</v>
      </c>
      <c r="Z17" s="2"/>
      <c r="AA17" s="6">
        <f>RANK('1bezr.'!C16,'1bezr.'!$C$3:'1bezr.'!$C$28,1)+COUNTIF('1bezr.'!$C$3:'1bezr.'!C16,'1bezr.'!C16)-1</f>
        <v>16</v>
      </c>
      <c r="AB17" s="276" t="str">
        <f>INDEX('1bezr.'!B3:G28,MATCH(12,AA4:AA29,0),1)</f>
        <v>ropczycko-sędziszowski</v>
      </c>
      <c r="AC17" s="6">
        <f>INDEX('1bezr.'!B3:K28,MATCH(12,AA4:AA29,0),2)</f>
        <v>2677</v>
      </c>
      <c r="AE17" s="6">
        <f>RANK('1bezr.'!C16,'1bezr.'!$C$3:'1bezr.'!$C$28,1)+COUNTIF('1bezr.'!$C$3:'1bezr.'!C16,'1bezr.'!C16)-1</f>
        <v>16</v>
      </c>
      <c r="AF17" s="276" t="str">
        <f>INDEX('1bezr.'!B3:G28,MATCH(14,AE4:AE29,0),1)</f>
        <v>sanocki</v>
      </c>
      <c r="AG17" s="6">
        <f>INDEX('1bezr.'!B3:K28,MATCH(14,AE4:AE29,0),2)</f>
        <v>2908</v>
      </c>
    </row>
    <row r="18" spans="2:33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mielecki</v>
      </c>
      <c r="D18" s="6">
        <f>INDEX('1bezr.'!B3:G28,MATCH(15,B4:B29,0),2)</f>
        <v>3037</v>
      </c>
      <c r="E18" s="61">
        <f>INDEX('1bezr.'!B3:G28,MATCH(15,B4:B29,0),3)</f>
        <v>2994</v>
      </c>
      <c r="F18" s="6">
        <f>INDEX('1bezr.'!B3:G28,MATCH(15,B4:B29,0),4)</f>
        <v>43</v>
      </c>
      <c r="G18" s="61">
        <f>INDEX('1bezr.'!B3:G28,MATCH(15,B4:B29,0),5)</f>
        <v>2769</v>
      </c>
      <c r="H18" s="6">
        <f>INDEX('1bezr.'!B3:G28,MATCH(15,B4:B29,0),6)</f>
        <v>268</v>
      </c>
      <c r="V18" s="6">
        <f>RANK('1bezr.'!E17,'1bezr.'!$E$3:'1bezr.'!$E$28,1)+COUNTIF('1bezr.'!$E$3:'1bezr.'!E17,'1bezr.'!E17)-1</f>
        <v>4</v>
      </c>
      <c r="W18" s="78" t="str">
        <f>INDEX('1bezr.'!B3:G28,MATCH(15,V4:V29,0),1)</f>
        <v>leski</v>
      </c>
      <c r="X18" s="6">
        <f>INDEX('1bezr.'!E3:G28,MATCH(15,V4:V29,0),1)</f>
        <v>0</v>
      </c>
      <c r="Y18" s="279">
        <v>1</v>
      </c>
      <c r="Z18" s="283" t="s">
        <v>170</v>
      </c>
      <c r="AA18" s="6">
        <f>RANK('1bezr.'!C17,'1bezr.'!$C$3:'1bezr.'!$C$28,1)+COUNTIF('1bezr.'!$C$3:'1bezr.'!C17,'1bezr.'!C17)-1</f>
        <v>20</v>
      </c>
      <c r="AB18" s="276" t="str">
        <f>INDEX('1bezr.'!B3:G28,MATCH(11,AA4:AA29,0),1)</f>
        <v>dębicki</v>
      </c>
      <c r="AC18" s="6">
        <f>INDEX('1bezr.'!B3:K28,MATCH(11,AA4:AA29,0),2)</f>
        <v>2617</v>
      </c>
      <c r="AE18" s="6">
        <f>RANK('1bezr.'!C17,'1bezr.'!$C$3:'1bezr.'!$C$28,1)+COUNTIF('1bezr.'!$C$3:'1bezr.'!C17,'1bezr.'!C17)-1</f>
        <v>20</v>
      </c>
      <c r="AF18" s="276" t="str">
        <f>INDEX('1bezr.'!B3:G28,MATCH(15,AE4:AE29,0),1)</f>
        <v>mielecki</v>
      </c>
      <c r="AG18" s="6">
        <f>INDEX('1bezr.'!B3:K28,MATCH(15,AE4:AE29,0),2)</f>
        <v>3037</v>
      </c>
    </row>
    <row r="19" spans="2:33" x14ac:dyDescent="0.2">
      <c r="B19" s="6">
        <f>RANK('1bezr.'!C18,'1bezr.'!$C$3:'1bezr.'!$C$28,1)+COUNTIF('1bezr.'!$C$3:'1bezr.'!C18,'1bezr.'!C18)-1</f>
        <v>12</v>
      </c>
      <c r="C19" s="5" t="str">
        <f>INDEX('1bezr.'!B3:G28,MATCH(16,B4:B29,0),1)</f>
        <v>przemyski</v>
      </c>
      <c r="D19" s="6">
        <f>INDEX('1bezr.'!B3:G28,MATCH(16,B4:B29,0),2)</f>
        <v>3107</v>
      </c>
      <c r="E19" s="61">
        <f>INDEX('1bezr.'!B3:G28,MATCH(16,B4:B29,0),3)</f>
        <v>3144</v>
      </c>
      <c r="F19" s="6">
        <f>INDEX('1bezr.'!B3:G28,MATCH(16,B4:B29,0),4)</f>
        <v>-37</v>
      </c>
      <c r="G19" s="61">
        <f>INDEX('1bezr.'!B3:G28,MATCH(16,B4:B29,0),5)</f>
        <v>3149</v>
      </c>
      <c r="H19" s="6">
        <f>INDEX('1bezr.'!B3:G28,MATCH(16,B4:B29,0),6)</f>
        <v>-42</v>
      </c>
      <c r="V19" s="6">
        <f>RANK('1bezr.'!E18,'1bezr.'!$E$3:'1bezr.'!$E$28,1)+COUNTIF('1bezr.'!$E$3:'1bezr.'!E18,'1bezr.'!E18)-1</f>
        <v>11</v>
      </c>
      <c r="W19" s="78" t="str">
        <f>INDEX('1bezr.'!B3:G28,MATCH(16,V4:V29,0),1)</f>
        <v>Tarnobrzeg</v>
      </c>
      <c r="X19" s="6">
        <f>INDEX('1bezr.'!E3:G28,MATCH(16,V4:V29,0),1)</f>
        <v>2</v>
      </c>
      <c r="Y19" s="279"/>
      <c r="Z19" s="2">
        <v>1</v>
      </c>
      <c r="AA19" s="6">
        <f>RANK('1bezr.'!C18,'1bezr.'!$C$3:'1bezr.'!$C$28,1)+COUNTIF('1bezr.'!$C$3:'1bezr.'!C18,'1bezr.'!C18)-1</f>
        <v>12</v>
      </c>
      <c r="AB19" s="276" t="str">
        <f>INDEX('1bezr.'!B3:G28,MATCH(10,AA4:AA29,0),1)</f>
        <v>Przemyśl</v>
      </c>
      <c r="AC19" s="6">
        <f>INDEX('1bezr.'!B3:K28,MATCH(10,AA4:AA29,0),2)</f>
        <v>2506</v>
      </c>
      <c r="AE19" s="6">
        <f>RANK('1bezr.'!C18,'1bezr.'!$C$3:'1bezr.'!$C$28,1)+COUNTIF('1bezr.'!$C$3:'1bezr.'!C18,'1bezr.'!C18)-1</f>
        <v>12</v>
      </c>
      <c r="AF19" s="276" t="str">
        <f>INDEX('1bezr.'!B3:G28,MATCH(16,AE4:AE29,0),1)</f>
        <v>przemyski</v>
      </c>
      <c r="AG19" s="6">
        <f>INDEX('1bezr.'!B3:K28,MATCH(16,AE4:AE29,0),2)</f>
        <v>3107</v>
      </c>
    </row>
    <row r="20" spans="2:33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niżański</v>
      </c>
      <c r="D20" s="6">
        <f>INDEX('1bezr.'!B3:G28,MATCH(17,B4:B29,0),2)</f>
        <v>3129</v>
      </c>
      <c r="E20" s="61">
        <f>INDEX('1bezr.'!B3:G28,MATCH(17,B4:B29,0),3)</f>
        <v>3233</v>
      </c>
      <c r="F20" s="6">
        <f>INDEX('1bezr.'!B3:G28,MATCH(17,B4:B29,0),4)</f>
        <v>-104</v>
      </c>
      <c r="G20" s="61">
        <f>INDEX('1bezr.'!B3:G28,MATCH(17,B4:B29,0),5)</f>
        <v>3248</v>
      </c>
      <c r="H20" s="6">
        <f>INDEX('1bezr.'!B3:G28,MATCH(17,B4:B29,0),6)</f>
        <v>-119</v>
      </c>
      <c r="V20" s="6">
        <f>RANK('1bezr.'!E19,'1bezr.'!$E$3:'1bezr.'!$E$28,1)+COUNTIF('1bezr.'!$E$3:'1bezr.'!E19,'1bezr.'!E19)-1</f>
        <v>23</v>
      </c>
      <c r="W20" s="78" t="str">
        <f>INDEX('1bezr.'!B3:G28,MATCH(17,V4:V29,0),1)</f>
        <v xml:space="preserve">tarnobrzeski </v>
      </c>
      <c r="X20" s="6">
        <f>INDEX('1bezr.'!E3:G28,MATCH(17,V4:V29,0),1)</f>
        <v>12</v>
      </c>
      <c r="Y20" s="279"/>
      <c r="Z20" s="2">
        <v>2</v>
      </c>
      <c r="AA20" s="6">
        <f>RANK('1bezr.'!C19,'1bezr.'!$C$3:'1bezr.'!$C$28,1)+COUNTIF('1bezr.'!$C$3:'1bezr.'!C19,'1bezr.'!C19)-1</f>
        <v>23</v>
      </c>
      <c r="AB20" s="276" t="str">
        <f>INDEX('1bezr.'!B3:G28,MATCH(9,AA4:AA29,0),1)</f>
        <v>krośnieński</v>
      </c>
      <c r="AC20" s="6">
        <f>INDEX('1bezr.'!B3:K28,MATCH(9,AA4:AA29,0),2)</f>
        <v>2504</v>
      </c>
      <c r="AE20" s="6">
        <f>RANK('1bezr.'!C19,'1bezr.'!$C$3:'1bezr.'!$C$28,1)+COUNTIF('1bezr.'!$C$3:'1bezr.'!C19,'1bezr.'!C19)-1</f>
        <v>23</v>
      </c>
      <c r="AF20" s="276" t="str">
        <f>INDEX('1bezr.'!B3:G28,MATCH(17,AE4:AE29,0),1)</f>
        <v>niżański</v>
      </c>
      <c r="AG20" s="6">
        <f>INDEX('1bezr.'!B3:K28,MATCH(17,AE4:AE29,0),2)</f>
        <v>3129</v>
      </c>
    </row>
    <row r="21" spans="2:33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strzyżowski</v>
      </c>
      <c r="D21" s="6">
        <f>INDEX('1bezr.'!B3:G28,MATCH(18,B4:B29,0),2)</f>
        <v>3236</v>
      </c>
      <c r="E21" s="61">
        <f>INDEX('1bezr.'!B3:G28,MATCH(18,B4:B29,0),3)</f>
        <v>3295</v>
      </c>
      <c r="F21" s="6">
        <f>INDEX('1bezr.'!B3:G28,MATCH(18,B4:B29,0),4)</f>
        <v>-59</v>
      </c>
      <c r="G21" s="61">
        <f>INDEX('1bezr.'!B3:G28,MATCH(18,B4:B29,0),5)</f>
        <v>3417</v>
      </c>
      <c r="H21" s="6">
        <f>INDEX('1bezr.'!B3:G28,MATCH(18,B4:B29,0),6)</f>
        <v>-181</v>
      </c>
      <c r="V21" s="6">
        <f>RANK('1bezr.'!E20,'1bezr.'!$E$3:'1bezr.'!$E$28,1)+COUNTIF('1bezr.'!$E$3:'1bezr.'!E20,'1bezr.'!E20)-1</f>
        <v>21</v>
      </c>
      <c r="W21" s="78" t="str">
        <f>INDEX('1bezr.'!B3:G28,MATCH(18,V4:V29,0),1)</f>
        <v>Krosno</v>
      </c>
      <c r="X21" s="6">
        <f>INDEX('1bezr.'!E3:G28,MATCH(18,V4:V29,0),1)</f>
        <v>15</v>
      </c>
      <c r="Y21" s="279"/>
      <c r="Z21" s="2">
        <v>3</v>
      </c>
      <c r="AA21" s="6">
        <f>RANK('1bezr.'!C20,'1bezr.'!$C$3:'1bezr.'!$C$28,1)+COUNTIF('1bezr.'!$C$3:'1bezr.'!C20,'1bezr.'!C20)-1</f>
        <v>14</v>
      </c>
      <c r="AB21" s="276" t="str">
        <f>INDEX('1bezr.'!B3:G28,MATCH(8,AA4:AA29,0),1)</f>
        <v>stalowowolski</v>
      </c>
      <c r="AC21" s="6">
        <f>INDEX('1bezr.'!B3:K28,MATCH(8,AA4:AA29,0),2)</f>
        <v>2079</v>
      </c>
      <c r="AE21" s="6">
        <f>RANK('1bezr.'!C20,'1bezr.'!$C$3:'1bezr.'!$C$28,1)+COUNTIF('1bezr.'!$C$3:'1bezr.'!C20,'1bezr.'!C20)-1</f>
        <v>14</v>
      </c>
      <c r="AF21" s="276" t="str">
        <f>INDEX('1bezr.'!B3:G28,MATCH(18,AE4:AE29,0),1)</f>
        <v>strzyżowski</v>
      </c>
      <c r="AG21" s="6">
        <f>INDEX('1bezr.'!B3:K28,MATCH(18,AE4:AE29,0),2)</f>
        <v>3236</v>
      </c>
    </row>
    <row r="22" spans="2:33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leżajski</v>
      </c>
      <c r="D22" s="6">
        <f>INDEX('1bezr.'!B3:G28,MATCH(19,B4:B29,0),2)</f>
        <v>3279</v>
      </c>
      <c r="E22" s="61">
        <f>INDEX('1bezr.'!B3:G28,MATCH(19,B4:B29,0),3)</f>
        <v>3262</v>
      </c>
      <c r="F22" s="6">
        <f>INDEX('1bezr.'!B3:G28,MATCH(19,B4:B29,0),4)</f>
        <v>17</v>
      </c>
      <c r="G22" s="61">
        <f>INDEX('1bezr.'!B3:G28,MATCH(19,B4:B29,0),5)</f>
        <v>3283</v>
      </c>
      <c r="H22" s="6">
        <f>INDEX('1bezr.'!B3:G28,MATCH(19,B4:B29,0),6)</f>
        <v>-4</v>
      </c>
      <c r="V22" s="6">
        <f>RANK('1bezr.'!E21,'1bezr.'!$E$3:'1bezr.'!$E$28,1)+COUNTIF('1bezr.'!$E$3:'1bezr.'!E21,'1bezr.'!E21)-1</f>
        <v>19</v>
      </c>
      <c r="W22" s="78" t="str">
        <f>INDEX('1bezr.'!B3:G28,MATCH(19,V4:V29,0),1)</f>
        <v>stalowowolski</v>
      </c>
      <c r="X22" s="6">
        <f>INDEX('1bezr.'!E3:G28,MATCH(19,V4:V29,0),1)</f>
        <v>16</v>
      </c>
      <c r="Y22" s="279"/>
      <c r="Z22" s="2">
        <v>4</v>
      </c>
      <c r="AA22" s="6">
        <f>RANK('1bezr.'!C21,'1bezr.'!$C$3:'1bezr.'!$C$28,1)+COUNTIF('1bezr.'!$C$3:'1bezr.'!C21,'1bezr.'!C21)-1</f>
        <v>8</v>
      </c>
      <c r="AB22" s="276" t="str">
        <f>INDEX('1bezr.'!B3:G28,MATCH(7,AA4:AA29,0),1)</f>
        <v>lubaczowski</v>
      </c>
      <c r="AC22" s="6">
        <f>INDEX('1bezr.'!B3:K28,MATCH(7,AA4:AA29,0),2)</f>
        <v>1903</v>
      </c>
      <c r="AE22" s="6">
        <f>RANK('1bezr.'!C21,'1bezr.'!$C$3:'1bezr.'!$C$28,1)+COUNTIF('1bezr.'!$C$3:'1bezr.'!C21,'1bezr.'!C21)-1</f>
        <v>8</v>
      </c>
      <c r="AF22" s="276" t="str">
        <f>INDEX('1bezr.'!B3:G28,MATCH(19,AE4:AE29,0),1)</f>
        <v>leżajski</v>
      </c>
      <c r="AG22" s="6">
        <f>INDEX('1bezr.'!B3:K28,MATCH(19,AE4:AE29,0),2)</f>
        <v>3279</v>
      </c>
    </row>
    <row r="23" spans="2:33" x14ac:dyDescent="0.2">
      <c r="B23" s="6">
        <f>RANK('1bezr.'!C22,'1bezr.'!$C$3:'1bezr.'!$C$28,1)+COUNTIF('1bezr.'!$C$3:'1bezr.'!C22,'1bezr.'!C22)-1</f>
        <v>18</v>
      </c>
      <c r="C23" s="5" t="str">
        <f>INDEX('1bezr.'!B3:G28,MATCH(20,B4:B29,0),1)</f>
        <v>przeworski</v>
      </c>
      <c r="D23" s="6">
        <f>INDEX('1bezr.'!B3:G28,MATCH(20,B4:B29,0),2)</f>
        <v>3401</v>
      </c>
      <c r="E23" s="61">
        <f>INDEX('1bezr.'!B3:G28,MATCH(20,B4:B29,0),3)</f>
        <v>3467</v>
      </c>
      <c r="F23" s="6">
        <f>INDEX('1bezr.'!B3:G28,MATCH(20,B4:B29,0),4)</f>
        <v>-66</v>
      </c>
      <c r="G23" s="61">
        <f>INDEX('1bezr.'!B3:G28,MATCH(20,B4:B29,0),5)</f>
        <v>3596</v>
      </c>
      <c r="H23" s="6">
        <f>INDEX('1bezr.'!B3:G28,MATCH(20,B4:B29,0),6)</f>
        <v>-195</v>
      </c>
      <c r="V23" s="6">
        <f>RANK('1bezr.'!E22,'1bezr.'!$E$3:'1bezr.'!$E$28,1)+COUNTIF('1bezr.'!$E$3:'1bezr.'!E22,'1bezr.'!E22)-1</f>
        <v>5</v>
      </c>
      <c r="W23" s="78" t="str">
        <f>INDEX('1bezr.'!B3:G28,MATCH(20,V4:V29,0),1)</f>
        <v>leżajski</v>
      </c>
      <c r="X23" s="6">
        <f>INDEX('1bezr.'!E3:G28,MATCH(20,V4:V29,0),1)</f>
        <v>17</v>
      </c>
      <c r="Y23" s="279"/>
      <c r="Z23" s="2">
        <v>5</v>
      </c>
      <c r="AA23" s="6">
        <f>RANK('1bezr.'!C22,'1bezr.'!$C$3:'1bezr.'!$C$28,1)+COUNTIF('1bezr.'!$C$3:'1bezr.'!C22,'1bezr.'!C22)-1</f>
        <v>18</v>
      </c>
      <c r="AB23" s="276" t="str">
        <f>INDEX('1bezr.'!B3:G28,MATCH(6,AA4:AA29,0),1)</f>
        <v>leski</v>
      </c>
      <c r="AC23" s="6">
        <f>INDEX('1bezr.'!B3:K28,MATCH(6,AA4:AA29,0),2)</f>
        <v>1788</v>
      </c>
      <c r="AE23" s="6">
        <f>RANK('1bezr.'!C22,'1bezr.'!$C$3:'1bezr.'!$C$28,1)+COUNTIF('1bezr.'!$C$3:'1bezr.'!C22,'1bezr.'!C22)-1</f>
        <v>18</v>
      </c>
      <c r="AF23" s="276" t="str">
        <f>INDEX('1bezr.'!B3:G28,MATCH(20,AE4:AE29,0),1)</f>
        <v>przeworski</v>
      </c>
      <c r="AG23" s="6">
        <f>INDEX('1bezr.'!B3:K28,MATCH(20,AE4:AE29,0),2)</f>
        <v>3401</v>
      </c>
    </row>
    <row r="24" spans="2:33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3957</v>
      </c>
      <c r="E24" s="61">
        <f>INDEX('1bezr.'!B3:G28,MATCH(21,B4:B29,0),3)</f>
        <v>3975</v>
      </c>
      <c r="F24" s="6">
        <f>INDEX('1bezr.'!B3:G28,MATCH(21,B4:B29,0),4)</f>
        <v>-18</v>
      </c>
      <c r="G24" s="61">
        <f>INDEX('1bezr.'!B3:G28,MATCH(21,B4:B29,0),5)</f>
        <v>4127</v>
      </c>
      <c r="H24" s="6">
        <f>INDEX('1bezr.'!B3:G28,MATCH(21,B4:B29,0),6)</f>
        <v>-170</v>
      </c>
      <c r="V24" s="6">
        <f>RANK('1bezr.'!E23,'1bezr.'!$E$3:'1bezr.'!$E$28,1)+COUNTIF('1bezr.'!$E$3:'1bezr.'!E23,'1bezr.'!E23)-1</f>
        <v>17</v>
      </c>
      <c r="W24" s="78" t="str">
        <f>INDEX('1bezr.'!B3:G28,MATCH(21,V4:V29,0),1)</f>
        <v>sanocki</v>
      </c>
      <c r="X24" s="6">
        <f>INDEX('1bezr.'!E3:G28,MATCH(21,V4:V29,0),1)</f>
        <v>29</v>
      </c>
      <c r="Y24" s="279"/>
      <c r="Z24" s="2">
        <v>6</v>
      </c>
      <c r="AA24" s="6">
        <f>RANK('1bezr.'!C23,'1bezr.'!$C$3:'1bezr.'!$C$28,1)+COUNTIF('1bezr.'!$C$3:'1bezr.'!C23,'1bezr.'!C23)-1</f>
        <v>4</v>
      </c>
      <c r="AB24" s="276" t="str">
        <f>INDEX('1bezr.'!B3:G28,MATCH(5,AA4:AA29,0),1)</f>
        <v>kolbuszowski</v>
      </c>
      <c r="AC24" s="6">
        <f>INDEX('1bezr.'!B3:K28,MATCH(5,AA4:AA29,0),2)</f>
        <v>1620</v>
      </c>
      <c r="AE24" s="6">
        <f>RANK('1bezr.'!C23,'1bezr.'!$C$3:'1bezr.'!$C$28,1)+COUNTIF('1bezr.'!$C$3:'1bezr.'!C23,'1bezr.'!C23)-1</f>
        <v>4</v>
      </c>
      <c r="AF24" s="276" t="str">
        <f>INDEX('1bezr.'!B3:G28,MATCH(21,AE4:AE29,0),1)</f>
        <v>brzozowski</v>
      </c>
      <c r="AG24" s="6">
        <f>INDEX('1bezr.'!B3:K28,MATCH(21,AE4:AE29,0),2)</f>
        <v>3957</v>
      </c>
    </row>
    <row r="25" spans="2:33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4569</v>
      </c>
      <c r="E25" s="61">
        <f>INDEX('1bezr.'!B3:G28,MATCH(22,B4:B29,0),3)</f>
        <v>4604</v>
      </c>
      <c r="F25" s="6">
        <f>INDEX('1bezr.'!B3:G28,MATCH(22,B4:B29,0),4)</f>
        <v>-35</v>
      </c>
      <c r="G25" s="61">
        <f>INDEX('1bezr.'!B3:G28,MATCH(22,B4:B29,0),5)</f>
        <v>4843</v>
      </c>
      <c r="H25" s="6">
        <f>INDEX('1bezr.'!B3:G28,MATCH(22,B4:B29,0),6)</f>
        <v>-274</v>
      </c>
      <c r="V25" s="6">
        <f>RANK('1bezr.'!E24,'1bezr.'!$E$3:'1bezr.'!$E$28,1)+COUNTIF('1bezr.'!$E$3:'1bezr.'!E24,'1bezr.'!E24)-1</f>
        <v>18</v>
      </c>
      <c r="W25" s="78" t="str">
        <f>INDEX('1bezr.'!B3:G28,MATCH(22,V4:V29,0),1)</f>
        <v>mielecki</v>
      </c>
      <c r="X25" s="6">
        <f>INDEX('1bezr.'!E3:G28,MATCH(22,V4:V29,0),1)</f>
        <v>43</v>
      </c>
      <c r="Y25" s="279"/>
      <c r="Z25" s="2">
        <v>7</v>
      </c>
      <c r="AA25" s="6">
        <f>RANK('1bezr.'!C24,'1bezr.'!$C$3:'1bezr.'!$C$28,1)+COUNTIF('1bezr.'!$C$3:'1bezr.'!C24,'1bezr.'!C24)-1</f>
        <v>1</v>
      </c>
      <c r="AB25" s="276" t="str">
        <f>INDEX('1bezr.'!B3:G28,MATCH(4,AA4:AA29,0),1)</f>
        <v xml:space="preserve">tarnobrzeski </v>
      </c>
      <c r="AC25" s="6">
        <f>INDEX('1bezr.'!B3:K28,MATCH(4,AA4:AA29,0),2)</f>
        <v>1359</v>
      </c>
      <c r="AE25" s="6">
        <f>RANK('1bezr.'!C24,'1bezr.'!$C$3:'1bezr.'!$C$28,1)+COUNTIF('1bezr.'!$C$3:'1bezr.'!C24,'1bezr.'!C24)-1</f>
        <v>1</v>
      </c>
      <c r="AF25" s="276" t="str">
        <f>INDEX('1bezr.'!B3:G28,MATCH(22,AE4:AE29,0),1)</f>
        <v>jarosławski</v>
      </c>
      <c r="AG25" s="6">
        <f>INDEX('1bezr.'!B3:K28,MATCH(22,AE4:AE29,0),2)</f>
        <v>4569</v>
      </c>
    </row>
    <row r="26" spans="2:33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4809</v>
      </c>
      <c r="E26" s="61">
        <f>INDEX('1bezr.'!B3:G28,MATCH(23,B4:B29,0),3)</f>
        <v>4760</v>
      </c>
      <c r="F26" s="6">
        <f>INDEX('1bezr.'!B3:G28,MATCH(23,B4:B29,0),4)</f>
        <v>49</v>
      </c>
      <c r="G26" s="61">
        <f>INDEX('1bezr.'!B3:G28,MATCH(23,B4:B29,0),5)</f>
        <v>5092</v>
      </c>
      <c r="H26" s="6">
        <f>INDEX('1bezr.'!B3:G28,MATCH(23,B4:B29,0),6)</f>
        <v>-283</v>
      </c>
      <c r="V26" s="6">
        <f>RANK('1bezr.'!E25,'1bezr.'!$E$3:'1bezr.'!$E$28,1)+COUNTIF('1bezr.'!$E$3:'1bezr.'!E25,'1bezr.'!E25)-1</f>
        <v>12</v>
      </c>
      <c r="W26" s="78" t="str">
        <f>INDEX('1bezr.'!B3:G28,MATCH(23,V4:V29,0),1)</f>
        <v>rzeszowski</v>
      </c>
      <c r="X26" s="6">
        <f>INDEX('1bezr.'!E3:G28,MATCH(23,V4:V29,0),1)</f>
        <v>49</v>
      </c>
      <c r="Y26" s="279"/>
      <c r="Z26" s="2">
        <v>8</v>
      </c>
      <c r="AA26" s="6">
        <f>RANK('1bezr.'!C25,'1bezr.'!$C$3:'1bezr.'!$C$28,1)+COUNTIF('1bezr.'!$C$3:'1bezr.'!C25,'1bezr.'!C25)-1</f>
        <v>10</v>
      </c>
      <c r="AB26" s="276" t="str">
        <f>INDEX('1bezr.'!B3:G28,MATCH(3,AA4:AA29,0),1)</f>
        <v>Tarnobrzeg</v>
      </c>
      <c r="AC26" s="6">
        <f>INDEX('1bezr.'!B3:K28,MATCH(3,AA4:AA29,0),2)</f>
        <v>1161</v>
      </c>
      <c r="AE26" s="6">
        <f>RANK('1bezr.'!C25,'1bezr.'!$C$3:'1bezr.'!$C$28,1)+COUNTIF('1bezr.'!$C$3:'1bezr.'!C25,'1bezr.'!C25)-1</f>
        <v>10</v>
      </c>
      <c r="AF26" s="276" t="str">
        <f>INDEX('1bezr.'!B3:G28,MATCH(23,AE4:AE29,0),1)</f>
        <v>rzeszowski</v>
      </c>
      <c r="AG26" s="6">
        <f>INDEX('1bezr.'!B3:K28,MATCH(23,AE4:AE29,0),2)</f>
        <v>4809</v>
      </c>
    </row>
    <row r="27" spans="2:33" x14ac:dyDescent="0.2">
      <c r="B27" s="6">
        <f>RANK('1bezr.'!C26,'1bezr.'!$C$3:'1bezr.'!$C$28,1)+COUNTIF('1bezr.'!$C$3:'1bezr.'!C26,'1bezr.'!C26)-1</f>
        <v>24</v>
      </c>
      <c r="C27" s="5" t="str">
        <f>INDEX('1bezr.'!B3:G28,MATCH(24,B4:B29,0),1)</f>
        <v>Rzeszów</v>
      </c>
      <c r="D27" s="6">
        <f>INDEX('1bezr.'!B3:G28,MATCH(24,B4:B29,0),2)</f>
        <v>5182</v>
      </c>
      <c r="E27" s="61">
        <f>INDEX('1bezr.'!B3:G28,MATCH(24,B4:B29,0),3)</f>
        <v>5122</v>
      </c>
      <c r="F27" s="6">
        <f>INDEX('1bezr.'!B3:G28,MATCH(24,B4:B29,0),4)</f>
        <v>60</v>
      </c>
      <c r="G27" s="61">
        <f>INDEX('1bezr.'!B3:G28,MATCH(24,B4:B29,0),5)</f>
        <v>5508</v>
      </c>
      <c r="H27" s="6">
        <f>INDEX('1bezr.'!B3:G28,MATCH(24,B4:B29,0),6)</f>
        <v>-326</v>
      </c>
      <c r="V27" s="6">
        <f>RANK('1bezr.'!E26,'1bezr.'!$E$3:'1bezr.'!$E$28,1)+COUNTIF('1bezr.'!$E$3:'1bezr.'!E26,'1bezr.'!E26)-1</f>
        <v>25</v>
      </c>
      <c r="W27" s="78" t="str">
        <f>INDEX('1bezr.'!B3:G28,MATCH(24,V4:V29,0),1)</f>
        <v>kolbuszowski</v>
      </c>
      <c r="X27" s="6">
        <f>INDEX('1bezr.'!E3:G28,MATCH(24,V4:V29,0),1)</f>
        <v>57</v>
      </c>
      <c r="Y27" s="279"/>
      <c r="Z27" s="2">
        <v>9</v>
      </c>
      <c r="AA27" s="6">
        <f>RANK('1bezr.'!C26,'1bezr.'!$C$3:'1bezr.'!$C$28,1)+COUNTIF('1bezr.'!$C$3:'1bezr.'!C26,'1bezr.'!C26)-1</f>
        <v>24</v>
      </c>
      <c r="AB27" s="276" t="str">
        <f>INDEX('1bezr.'!B3:G28,MATCH(2,AA4:AA29,0),1)</f>
        <v>bieszczadzki</v>
      </c>
      <c r="AC27" s="6">
        <f>INDEX('1bezr.'!B3:K28,MATCH(2,AA4:AA29,0),2)</f>
        <v>1085</v>
      </c>
      <c r="AE27" s="6">
        <f>RANK('1bezr.'!C26,'1bezr.'!$C$3:'1bezr.'!$C$28,1)+COUNTIF('1bezr.'!$C$3:'1bezr.'!C26,'1bezr.'!C26)-1</f>
        <v>24</v>
      </c>
      <c r="AF27" s="276" t="str">
        <f>INDEX('1bezr.'!B3:G28,MATCH(24,AE4:AE29,0),1)</f>
        <v>Rzeszów</v>
      </c>
      <c r="AG27" s="6">
        <f>INDEX('1bezr.'!B3:K28,MATCH(24,AE4:AE29,0),2)</f>
        <v>5182</v>
      </c>
    </row>
    <row r="28" spans="2:33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jasielski</v>
      </c>
      <c r="D28" s="6">
        <f>INDEX('1bezr.'!B3:G28,MATCH(25,B4:B29,0),2)</f>
        <v>5253</v>
      </c>
      <c r="E28" s="61">
        <f>INDEX('1bezr.'!B3:G28,MATCH(25,B4:B29,0),3)</f>
        <v>5393</v>
      </c>
      <c r="F28" s="6">
        <f>INDEX('1bezr.'!B3:G28,MATCH(25,B4:B29,0),4)</f>
        <v>-140</v>
      </c>
      <c r="G28" s="61">
        <f>INDEX('1bezr.'!B3:G28,MATCH(25,B4:B29,0),5)</f>
        <v>5156</v>
      </c>
      <c r="H28" s="6">
        <f>INDEX('1bezr.'!B3:G28,MATCH(25,B4:B29,0),6)</f>
        <v>97</v>
      </c>
      <c r="V28" s="6">
        <f>RANK('1bezr.'!E27,'1bezr.'!$E$3:'1bezr.'!$E$28,1)+COUNTIF('1bezr.'!$E$3:'1bezr.'!E27,'1bezr.'!E27)-1</f>
        <v>16</v>
      </c>
      <c r="W28" s="78" t="str">
        <f>INDEX('1bezr.'!B3:G28,MATCH(25,V4:V29,0),1)</f>
        <v>Rzeszów</v>
      </c>
      <c r="X28" s="6">
        <f>INDEX('1bezr.'!E3:G28,MATCH(25,V4:V29,0),1)</f>
        <v>60</v>
      </c>
      <c r="Y28" s="279"/>
      <c r="Z28" s="2">
        <v>10</v>
      </c>
      <c r="AA28" s="6">
        <f>RANK('1bezr.'!C27,'1bezr.'!$C$3:'1bezr.'!$C$28,1)+COUNTIF('1bezr.'!$C$3:'1bezr.'!C27,'1bezr.'!C27)-1</f>
        <v>3</v>
      </c>
      <c r="AB28" s="276" t="str">
        <f>INDEX('1bezr.'!B3:G28,MATCH(1,AA4:AA29,0),1)</f>
        <v>Krosno</v>
      </c>
      <c r="AC28" s="6">
        <f>INDEX('1bezr.'!B3:K28,MATCH(1,AA4:AA29,0),2)</f>
        <v>906</v>
      </c>
      <c r="AE28" s="6">
        <f>RANK('1bezr.'!C27,'1bezr.'!$C$3:'1bezr.'!$C$28,1)+COUNTIF('1bezr.'!$C$3:'1bezr.'!C27,'1bezr.'!C27)-1</f>
        <v>3</v>
      </c>
      <c r="AF28" s="276" t="str">
        <f>INDEX('1bezr.'!B3:G28,MATCH(25,AE4:AE29,0),1)</f>
        <v>jasielski</v>
      </c>
      <c r="AG28" s="6">
        <f>INDEX('1bezr.'!B3:K28,MATCH(25,AE4:AE29,0),2)</f>
        <v>5253</v>
      </c>
    </row>
    <row r="29" spans="2:33" ht="15" x14ac:dyDescent="0.25">
      <c r="B29" s="59">
        <f>RANK('1bezr.'!C28,'1bezr.'!$C$3:'1bezr.'!$C$28,1)+COUNTIF('1bezr.'!$C$3:'1bezr.'!C28,'1bezr.'!C28)-1</f>
        <v>26</v>
      </c>
      <c r="C29" s="58" t="str">
        <f>INDEX('1bezr.'!B3:G28,MATCH(26,B4:B29,0),1)</f>
        <v>województwo</v>
      </c>
      <c r="D29" s="59">
        <f>INDEX('1bezr.'!B3:G28,MATCH(26,B4:B29,0),2)</f>
        <v>70751</v>
      </c>
      <c r="E29" s="63">
        <f>INDEX('1bezr.'!B3:G28,MATCH(26,B4:B29,0),3)</f>
        <v>71027</v>
      </c>
      <c r="F29" s="59">
        <f>INDEX('1bezr.'!B3:G28,MATCH(26,B4:B29,0),4)</f>
        <v>-276</v>
      </c>
      <c r="G29" s="63">
        <f>INDEX('1bezr.'!B3:G28,MATCH(26,B4:B29,0),5)</f>
        <v>72068</v>
      </c>
      <c r="H29" s="59">
        <f>INDEX('1bezr.'!B3:G28,MATCH(26,B4:B29,0),6)</f>
        <v>-1317</v>
      </c>
      <c r="V29" s="6">
        <f>RANK('1bezr.'!E28,'1bezr.'!$E$3:'1bezr.'!$E$28,1)+COUNTIF('1bezr.'!$E$3:'1bezr.'!E28,'1bezr.'!E28)-1</f>
        <v>1</v>
      </c>
      <c r="W29" s="150" t="str">
        <f>INDEX('1bezr.'!B3:G28,MATCH(26,V4:V29,0),1)</f>
        <v>krośnieński</v>
      </c>
      <c r="X29" s="107">
        <f>INDEX('1bezr.'!E3:G28,MATCH(26,V4:V29,0),1)</f>
        <v>67</v>
      </c>
      <c r="Y29" s="279"/>
      <c r="Z29" s="2">
        <v>11</v>
      </c>
      <c r="AA29" s="6">
        <f>RANK('1bezr.'!C28,'1bezr.'!$C$3:'1bezr.'!$C$28,1)+COUNTIF('1bezr.'!$C$3:'1bezr.'!C28,'1bezr.'!C28)-1</f>
        <v>26</v>
      </c>
      <c r="AB29" s="278" t="str">
        <f>INDEX('1bezr.'!B3:G28,MATCH(26,AA4:AA29,0),1)</f>
        <v>województwo</v>
      </c>
      <c r="AC29" s="107">
        <f>INDEX('1bezr.'!B3:K28,MATCH(26,AA4:AA29,0),2)</f>
        <v>70751</v>
      </c>
      <c r="AE29" s="6">
        <f>RANK('1bezr.'!C28,'1bezr.'!$C$3:'1bezr.'!$C$28,1)+COUNTIF('1bezr.'!$C$3:'1bezr.'!C28,'1bezr.'!C28)-1</f>
        <v>26</v>
      </c>
      <c r="AF29" s="278" t="str">
        <f>INDEX('1bezr.'!B3:G28,MATCH(26,AE4:AE29,0),1)</f>
        <v>województwo</v>
      </c>
      <c r="AG29" s="107">
        <f>INDEX('1bezr.'!B3:K28,MATCH(26,AE4:AE29,0),2)</f>
        <v>70751</v>
      </c>
    </row>
    <row r="30" spans="2:33" x14ac:dyDescent="0.2">
      <c r="F30" s="19"/>
      <c r="H30" s="19"/>
      <c r="X30" s="80">
        <f>SUM(X5:X29)</f>
        <v>-276</v>
      </c>
      <c r="Y30" s="80"/>
      <c r="AC30" s="80">
        <f>SUM(AC4:AC28)</f>
        <v>70751</v>
      </c>
      <c r="AG30" s="80">
        <f>SUM(AG4:AG28)</f>
        <v>70751</v>
      </c>
    </row>
  </sheetData>
  <pageMargins left="0" right="0" top="0.31496062992125984" bottom="0.31496062992125984" header="0" footer="0"/>
  <pageSetup paperSize="9" scale="43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85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T('10oferty s.'!B3)</f>
        <v>powiaty</v>
      </c>
      <c r="D3" s="55" t="str">
        <f>T('10oferty s.'!C3)</f>
        <v>liczba ofert w 02-'24 r.</v>
      </c>
      <c r="E3" s="55" t="str">
        <f>T('10oferty s.'!D3)</f>
        <v>liczba ofert w 01-'24 r.</v>
      </c>
      <c r="F3" s="55" t="str">
        <f>T('10oferty s.'!E3)</f>
        <v>wzrost/spadek do poprzedniego  miesiąca</v>
      </c>
      <c r="G3" s="55" t="str">
        <f>T('10oferty s.'!F3)</f>
        <v>liczba ofert w 02-'23 r.</v>
      </c>
      <c r="H3" s="55" t="str">
        <f>T('10oferty s.'!G3)</f>
        <v>wzrost/spadek do analogicznego okresu ubr.</v>
      </c>
    </row>
    <row r="4" spans="2:8" x14ac:dyDescent="0.2">
      <c r="B4" s="6">
        <f>RANK('10oferty s.'!C4,'10oferty s.'!$C$4:'10oferty s.'!$C$29,1)+COUNTIF('10oferty s.'!$C$4:'10oferty s.'!C4,'10oferty s.'!C4)-1</f>
        <v>12</v>
      </c>
      <c r="C4" s="5" t="str">
        <f>INDEX('10oferty s.'!B4:G29,MATCH(1,B4:B29,0),1)</f>
        <v>leski</v>
      </c>
      <c r="D4" s="25">
        <f>INDEX('10oferty s.'!B4:G29,MATCH(1,B4:B29,0),2)</f>
        <v>21</v>
      </c>
      <c r="E4" s="61">
        <f>INDEX('10oferty s.'!B4:G29,MATCH(1,B4:B29,0),3)</f>
        <v>0</v>
      </c>
      <c r="F4" s="6">
        <f>INDEX('10oferty s.'!B4:G29,MATCH(1,B4:B29,0),4)</f>
        <v>21</v>
      </c>
      <c r="G4" s="61">
        <f>INDEX('10oferty s.'!B4:G29,MATCH(1,B4:B29,0),5)</f>
        <v>26</v>
      </c>
      <c r="H4" s="6">
        <f>INDEX('10oferty s.'!B4:G29,MATCH(1,B4:B29,0),6)</f>
        <v>-5</v>
      </c>
    </row>
    <row r="5" spans="2:8" x14ac:dyDescent="0.2">
      <c r="B5" s="6">
        <f>RANK('10oferty s.'!C5,'10oferty s.'!$C$4:'10oferty s.'!$C$29,1)+COUNTIF('10oferty s.'!$C$4:'10oferty s.'!C5,'10oferty s.'!C5)-1</f>
        <v>9</v>
      </c>
      <c r="C5" s="5" t="str">
        <f>INDEX('10oferty s.'!B4:G29,MATCH(2,B4:B29,0),1)</f>
        <v>rzeszowski</v>
      </c>
      <c r="D5" s="6">
        <f>INDEX('10oferty s.'!B4:G29,MATCH(2,B4:B29,0),2)</f>
        <v>29</v>
      </c>
      <c r="E5" s="61">
        <f>INDEX('10oferty s.'!B4:G29,MATCH(2,B4:B29,0),3)</f>
        <v>14</v>
      </c>
      <c r="F5" s="6">
        <f>INDEX('10oferty s.'!B4:G29,MATCH(2,B4:B29,0),4)</f>
        <v>15</v>
      </c>
      <c r="G5" s="61">
        <f>INDEX('10oferty s.'!B4:G29,MATCH(2,B4:B29,0),5)</f>
        <v>34</v>
      </c>
      <c r="H5" s="6">
        <f>INDEX('10oferty s.'!B4:G29,MATCH(2,B4:B29,0),6)</f>
        <v>-5</v>
      </c>
    </row>
    <row r="6" spans="2:8" x14ac:dyDescent="0.2">
      <c r="B6" s="6">
        <f>RANK('10oferty s.'!C6,'10oferty s.'!$C$4:'10oferty s.'!$C$29,1)+COUNTIF('10oferty s.'!$C$4:'10oferty s.'!C6,'10oferty s.'!C6)-1</f>
        <v>13</v>
      </c>
      <c r="C6" s="5" t="str">
        <f>INDEX('10oferty s.'!B4:G29,MATCH(3,B4:B29,0),1)</f>
        <v>sanocki</v>
      </c>
      <c r="D6" s="6">
        <f>INDEX('10oferty s.'!B4:G29,MATCH(3,B4:B29,0),2)</f>
        <v>31</v>
      </c>
      <c r="E6" s="61">
        <f>INDEX('10oferty s.'!B4:G29,MATCH(3,B4:B29,0),3)</f>
        <v>17</v>
      </c>
      <c r="F6" s="6">
        <f>INDEX('10oferty s.'!B4:G29,MATCH(3,B4:B29,0),4)</f>
        <v>14</v>
      </c>
      <c r="G6" s="61">
        <f>INDEX('10oferty s.'!B4:G29,MATCH(3,B4:B29,0),5)</f>
        <v>26</v>
      </c>
      <c r="H6" s="6">
        <f>INDEX('10oferty s.'!B4:G29,MATCH(3,B4:B29,0),6)</f>
        <v>5</v>
      </c>
    </row>
    <row r="7" spans="2:8" x14ac:dyDescent="0.2">
      <c r="B7" s="6">
        <f>RANK('10oferty s.'!C7,'10oferty s.'!$C$4:'10oferty s.'!$C$29,1)+COUNTIF('10oferty s.'!$C$4:'10oferty s.'!C7,'10oferty s.'!C7)-1</f>
        <v>25</v>
      </c>
      <c r="C7" s="5" t="str">
        <f>INDEX('10oferty s.'!B4:G29,MATCH(4,B4:B29,0),1)</f>
        <v>kolbuszowski</v>
      </c>
      <c r="D7" s="6">
        <f>INDEX('10oferty s.'!B4:G29,MATCH(4,B4:B29,0),2)</f>
        <v>36</v>
      </c>
      <c r="E7" s="61">
        <f>INDEX('10oferty s.'!B4:G29,MATCH(4,B4:B29,0),3)</f>
        <v>9</v>
      </c>
      <c r="F7" s="6">
        <f>INDEX('10oferty s.'!B4:G29,MATCH(4,B4:B29,0),4)</f>
        <v>27</v>
      </c>
      <c r="G7" s="61">
        <f>INDEX('10oferty s.'!B4:G29,MATCH(4,B4:B29,0),5)</f>
        <v>78</v>
      </c>
      <c r="H7" s="6">
        <f>INDEX('10oferty s.'!B4:G29,MATCH(4,B4:B29,0),6)</f>
        <v>-42</v>
      </c>
    </row>
    <row r="8" spans="2:8" x14ac:dyDescent="0.2">
      <c r="B8" s="6">
        <f>RANK('10oferty s.'!C8,'10oferty s.'!$C$4:'10oferty s.'!$C$29,1)+COUNTIF('10oferty s.'!$C$4:'10oferty s.'!C8,'10oferty s.'!C8)-1</f>
        <v>19</v>
      </c>
      <c r="C8" s="5" t="str">
        <f>INDEX('10oferty s.'!B4:G29,MATCH(5,B4:B29,0),1)</f>
        <v>krośnieński</v>
      </c>
      <c r="D8" s="6">
        <f>INDEX('10oferty s.'!B4:G29,MATCH(5,B4:B29,0),2)</f>
        <v>48</v>
      </c>
      <c r="E8" s="61">
        <f>INDEX('10oferty s.'!B4:G29,MATCH(5,B4:B29,0),3)</f>
        <v>12</v>
      </c>
      <c r="F8" s="6">
        <f>INDEX('10oferty s.'!B4:G29,MATCH(5,B4:B29,0),4)</f>
        <v>36</v>
      </c>
      <c r="G8" s="61">
        <f>INDEX('10oferty s.'!B4:G29,MATCH(5,B4:B29,0),5)</f>
        <v>33</v>
      </c>
      <c r="H8" s="6">
        <f>INDEX('10oferty s.'!B4:G29,MATCH(5,B4:B29,0),6)</f>
        <v>15</v>
      </c>
    </row>
    <row r="9" spans="2:8" x14ac:dyDescent="0.2">
      <c r="B9" s="6">
        <f>RANK('10oferty s.'!C9,'10oferty s.'!$C$4:'10oferty s.'!$C$29,1)+COUNTIF('10oferty s.'!$C$4:'10oferty s.'!C9,'10oferty s.'!C9)-1</f>
        <v>4</v>
      </c>
      <c r="C9" s="5" t="str">
        <f>INDEX('10oferty s.'!B4:G29,MATCH(6,B4:B29,0),1)</f>
        <v>Krosno</v>
      </c>
      <c r="D9" s="6">
        <f>INDEX('10oferty s.'!B4:G29,MATCH(6,B4:B29,0),2)</f>
        <v>54</v>
      </c>
      <c r="E9" s="61">
        <f>INDEX('10oferty s.'!B4:G29,MATCH(6,B4:B29,0),3)</f>
        <v>36</v>
      </c>
      <c r="F9" s="6">
        <f>INDEX('10oferty s.'!B4:G29,MATCH(6,B4:B29,0),4)</f>
        <v>18</v>
      </c>
      <c r="G9" s="61">
        <f>INDEX('10oferty s.'!B4:G29,MATCH(6,B4:B29,0),5)</f>
        <v>74</v>
      </c>
      <c r="H9" s="6">
        <f>INDEX('10oferty s.'!B4:G29,MATCH(6,B4:B29,0),6)</f>
        <v>-20</v>
      </c>
    </row>
    <row r="10" spans="2:8" x14ac:dyDescent="0.2">
      <c r="B10" s="6">
        <f>RANK('10oferty s.'!C10,'10oferty s.'!$C$4:'10oferty s.'!$C$29,1)+COUNTIF('10oferty s.'!$C$4:'10oferty s.'!C10,'10oferty s.'!C10)-1</f>
        <v>5</v>
      </c>
      <c r="C10" s="9" t="str">
        <f>INDEX('10oferty s.'!B4:G29,MATCH(7,B4:B29,0),1)</f>
        <v xml:space="preserve">tarnobrzeski </v>
      </c>
      <c r="D10" s="6">
        <f>INDEX('10oferty s.'!B4:G29,MATCH(7,B4:B29,0),2)</f>
        <v>64</v>
      </c>
      <c r="E10" s="61">
        <f>INDEX('10oferty s.'!B4:G29,MATCH(7,B4:B29,0),3)</f>
        <v>58</v>
      </c>
      <c r="F10" s="6">
        <f>INDEX('10oferty s.'!B4:G29,MATCH(7,B4:B29,0),4)</f>
        <v>6</v>
      </c>
      <c r="G10" s="61">
        <f>INDEX('10oferty s.'!B4:G29,MATCH(7,B4:B29,0),5)</f>
        <v>98</v>
      </c>
      <c r="H10" s="6">
        <f>INDEX('10oferty s.'!B4:G29,MATCH(7,B4:B29,0),6)</f>
        <v>-34</v>
      </c>
    </row>
    <row r="11" spans="2:8" x14ac:dyDescent="0.2">
      <c r="B11" s="6">
        <f>RANK('10oferty s.'!C11,'10oferty s.'!$C$4:'10oferty s.'!$C$29,1)+COUNTIF('10oferty s.'!$C$4:'10oferty s.'!C11,'10oferty s.'!C11)-1</f>
        <v>1</v>
      </c>
      <c r="C11" s="5" t="str">
        <f>INDEX('10oferty s.'!B4:G29,MATCH(8,B4:B29,0),1)</f>
        <v>przemyski</v>
      </c>
      <c r="D11" s="6">
        <f>INDEX('10oferty s.'!B4:G29,MATCH(8,B4:B29,0),2)</f>
        <v>68</v>
      </c>
      <c r="E11" s="61">
        <f>INDEX('10oferty s.'!B4:G29,MATCH(8,B4:B29,0),3)</f>
        <v>26</v>
      </c>
      <c r="F11" s="6">
        <f>INDEX('10oferty s.'!B4:G29,MATCH(8,B4:B29,0),4)</f>
        <v>42</v>
      </c>
      <c r="G11" s="61">
        <f>INDEX('10oferty s.'!B4:G29,MATCH(8,B4:B29,0),5)</f>
        <v>48</v>
      </c>
      <c r="H11" s="6">
        <f>INDEX('10oferty s.'!B4:G29,MATCH(8,B4:B29,0),6)</f>
        <v>20</v>
      </c>
    </row>
    <row r="12" spans="2:8" x14ac:dyDescent="0.2">
      <c r="B12" s="6">
        <f>RANK('10oferty s.'!C12,'10oferty s.'!$C$4:'10oferty s.'!$C$29,1)+COUNTIF('10oferty s.'!$C$4:'10oferty s.'!C12,'10oferty s.'!C12)-1</f>
        <v>23</v>
      </c>
      <c r="C12" s="5" t="str">
        <f>INDEX('10oferty s.'!B4:G29,MATCH(9,B4:B29,0),1)</f>
        <v>brzozowski</v>
      </c>
      <c r="D12" s="6">
        <f>INDEX('10oferty s.'!B4:G29,MATCH(9,B4:B29,0),2)</f>
        <v>72</v>
      </c>
      <c r="E12" s="61">
        <f>INDEX('10oferty s.'!B4:G29,MATCH(9,B4:B29,0),3)</f>
        <v>25</v>
      </c>
      <c r="F12" s="6">
        <f>INDEX('10oferty s.'!B4:G29,MATCH(9,B4:B29,0),4)</f>
        <v>47</v>
      </c>
      <c r="G12" s="61">
        <f>INDEX('10oferty s.'!B4:G29,MATCH(9,B4:B29,0),5)</f>
        <v>46</v>
      </c>
      <c r="H12" s="6">
        <f>INDEX('10oferty s.'!B4:G29,MATCH(9,B4:B29,0),6)</f>
        <v>26</v>
      </c>
    </row>
    <row r="13" spans="2:8" x14ac:dyDescent="0.2">
      <c r="B13" s="6">
        <f>RANK('10oferty s.'!C13,'10oferty s.'!$C$4:'10oferty s.'!$C$29,1)+COUNTIF('10oferty s.'!$C$4:'10oferty s.'!C13,'10oferty s.'!C13)-1</f>
        <v>14</v>
      </c>
      <c r="C13" s="5" t="str">
        <f>INDEX('10oferty s.'!B4:G29,MATCH(10,B4:B29,0),1)</f>
        <v>Rzeszów</v>
      </c>
      <c r="D13" s="6">
        <f>INDEX('10oferty s.'!B4:G29,MATCH(10,B4:B29,0),2)</f>
        <v>76</v>
      </c>
      <c r="E13" s="61">
        <f>INDEX('10oferty s.'!B4:G29,MATCH(10,B4:B29,0),3)</f>
        <v>37</v>
      </c>
      <c r="F13" s="6">
        <f>INDEX('10oferty s.'!B4:G29,MATCH(10,B4:B29,0),4)</f>
        <v>39</v>
      </c>
      <c r="G13" s="61">
        <f>INDEX('10oferty s.'!B4:G29,MATCH(10,B4:B29,0),5)</f>
        <v>97</v>
      </c>
      <c r="H13" s="6">
        <f>INDEX('10oferty s.'!B4:G29,MATCH(10,B4:B29,0),6)</f>
        <v>-21</v>
      </c>
    </row>
    <row r="14" spans="2:8" x14ac:dyDescent="0.2">
      <c r="B14" s="6">
        <f>RANK('10oferty s.'!C14,'10oferty s.'!$C$4:'10oferty s.'!$C$29,1)+COUNTIF('10oferty s.'!$C$4:'10oferty s.'!C14,'10oferty s.'!C14)-1</f>
        <v>16</v>
      </c>
      <c r="C14" s="5" t="str">
        <f>INDEX('10oferty s.'!B4:G29,MATCH(11,B4:B29,0),1)</f>
        <v>Tarnobrzeg</v>
      </c>
      <c r="D14" s="6">
        <f>INDEX('10oferty s.'!B4:G29,MATCH(11,B4:B29,0),2)</f>
        <v>78</v>
      </c>
      <c r="E14" s="61">
        <f>INDEX('10oferty s.'!B4:G29,MATCH(11,B4:B29,0),3)</f>
        <v>33</v>
      </c>
      <c r="F14" s="6">
        <f>INDEX('10oferty s.'!B4:G29,MATCH(11,B4:B29,0),4)</f>
        <v>45</v>
      </c>
      <c r="G14" s="61">
        <f>INDEX('10oferty s.'!B4:G29,MATCH(11,B4:B29,0),5)</f>
        <v>61</v>
      </c>
      <c r="H14" s="6">
        <f>INDEX('10oferty s.'!B4:G29,MATCH(11,B4:B29,0),6)</f>
        <v>17</v>
      </c>
    </row>
    <row r="15" spans="2:8" x14ac:dyDescent="0.2">
      <c r="B15" s="6">
        <f>RANK('10oferty s.'!C15,'10oferty s.'!$C$4:'10oferty s.'!$C$29,1)+COUNTIF('10oferty s.'!$C$4:'10oferty s.'!C15,'10oferty s.'!C15)-1</f>
        <v>22</v>
      </c>
      <c r="C15" s="5" t="str">
        <f>INDEX('10oferty s.'!B4:G29,MATCH(12,B4:B29,0),1)</f>
        <v>bieszczadzki</v>
      </c>
      <c r="D15" s="6">
        <f>INDEX('10oferty s.'!B4:G29,MATCH(12,B4:B29,0),2)</f>
        <v>80</v>
      </c>
      <c r="E15" s="61">
        <f>INDEX('10oferty s.'!B4:G29,MATCH(12,B4:B29,0),3)</f>
        <v>58</v>
      </c>
      <c r="F15" s="6">
        <f>INDEX('10oferty s.'!B4:G29,MATCH(12,B4:B29,0),4)</f>
        <v>22</v>
      </c>
      <c r="G15" s="61">
        <f>INDEX('10oferty s.'!B4:G29,MATCH(12,B4:B29,0),5)</f>
        <v>66</v>
      </c>
      <c r="H15" s="6">
        <f>INDEX('10oferty s.'!B4:G29,MATCH(12,B4:B29,0),6)</f>
        <v>14</v>
      </c>
    </row>
    <row r="16" spans="2:8" x14ac:dyDescent="0.2">
      <c r="B16" s="6">
        <f>RANK('10oferty s.'!C16,'10oferty s.'!$C$4:'10oferty s.'!$C$29,1)+COUNTIF('10oferty s.'!$C$4:'10oferty s.'!C16,'10oferty s.'!C16)-1</f>
        <v>18</v>
      </c>
      <c r="C16" s="5" t="str">
        <f>INDEX('10oferty s.'!B4:G29,MATCH(13,B4:B29,0),1)</f>
        <v>dębicki</v>
      </c>
      <c r="D16" s="6">
        <f>INDEX('10oferty s.'!B4:G29,MATCH(13,B4:B29,0),2)</f>
        <v>88</v>
      </c>
      <c r="E16" s="61">
        <f>INDEX('10oferty s.'!B4:G29,MATCH(13,B4:B29,0),3)</f>
        <v>12</v>
      </c>
      <c r="F16" s="6">
        <f>INDEX('10oferty s.'!B4:G29,MATCH(13,B4:B29,0),4)</f>
        <v>76</v>
      </c>
      <c r="G16" s="61">
        <f>INDEX('10oferty s.'!B4:G29,MATCH(13,B4:B29,0),5)</f>
        <v>88</v>
      </c>
      <c r="H16" s="6">
        <f>INDEX('10oferty s.'!B4:G29,MATCH(13,B4:B29,0),6)</f>
        <v>0</v>
      </c>
    </row>
    <row r="17" spans="2:8" x14ac:dyDescent="0.2">
      <c r="B17" s="6">
        <f>RANK('10oferty s.'!C17,'10oferty s.'!$C$4:'10oferty s.'!$C$29,1)+COUNTIF('10oferty s.'!$C$4:'10oferty s.'!C17,'10oferty s.'!C17)-1</f>
        <v>8</v>
      </c>
      <c r="C17" s="5" t="str">
        <f>INDEX('10oferty s.'!B4:G29,MATCH(14,B4:B29,0),1)</f>
        <v>lubaczowski</v>
      </c>
      <c r="D17" s="6">
        <f>INDEX('10oferty s.'!B4:G29,MATCH(14,B4:B29,0),2)</f>
        <v>93</v>
      </c>
      <c r="E17" s="61">
        <f>INDEX('10oferty s.'!B4:G29,MATCH(14,B4:B29,0),3)</f>
        <v>13</v>
      </c>
      <c r="F17" s="6">
        <f>INDEX('10oferty s.'!B4:G29,MATCH(14,B4:B29,0),4)</f>
        <v>80</v>
      </c>
      <c r="G17" s="61">
        <f>INDEX('10oferty s.'!B4:G29,MATCH(14,B4:B29,0),5)</f>
        <v>79</v>
      </c>
      <c r="H17" s="6">
        <f>INDEX('10oferty s.'!B4:G29,MATCH(14,B4:B29,0),6)</f>
        <v>14</v>
      </c>
    </row>
    <row r="18" spans="2:8" x14ac:dyDescent="0.2">
      <c r="B18" s="6">
        <f>RANK('10oferty s.'!C18,'10oferty s.'!$C$4:'10oferty s.'!$C$29,1)+COUNTIF('10oferty s.'!$C$4:'10oferty s.'!C18,'10oferty s.'!C18)-1</f>
        <v>24</v>
      </c>
      <c r="C18" s="5" t="str">
        <f>INDEX('10oferty s.'!B4:G29,MATCH(15,B4:B29,0),1)</f>
        <v>stalowowolski</v>
      </c>
      <c r="D18" s="6">
        <f>INDEX('10oferty s.'!B4:G29,MATCH(15,B4:B29,0),2)</f>
        <v>93</v>
      </c>
      <c r="E18" s="61">
        <f>INDEX('10oferty s.'!B4:G29,MATCH(15,B4:B29,0),3)</f>
        <v>17</v>
      </c>
      <c r="F18" s="6">
        <f>INDEX('10oferty s.'!B4:G29,MATCH(15,B4:B29,0),4)</f>
        <v>76</v>
      </c>
      <c r="G18" s="61">
        <f>INDEX('10oferty s.'!B4:G29,MATCH(15,B4:B29,0),5)</f>
        <v>75</v>
      </c>
      <c r="H18" s="6">
        <f>INDEX('10oferty s.'!B4:G29,MATCH(15,B4:B29,0),6)</f>
        <v>18</v>
      </c>
    </row>
    <row r="19" spans="2:8" x14ac:dyDescent="0.2">
      <c r="B19" s="6">
        <f>RANK('10oferty s.'!C19,'10oferty s.'!$C$4:'10oferty s.'!$C$29,1)+COUNTIF('10oferty s.'!$C$4:'10oferty s.'!C19,'10oferty s.'!C19)-1</f>
        <v>17</v>
      </c>
      <c r="C19" s="5" t="str">
        <f>INDEX('10oferty s.'!B4:G29,MATCH(16,B4:B29,0),1)</f>
        <v>łańcucki</v>
      </c>
      <c r="D19" s="6">
        <f>INDEX('10oferty s.'!B4:G29,MATCH(16,B4:B29,0),2)</f>
        <v>99</v>
      </c>
      <c r="E19" s="61">
        <f>INDEX('10oferty s.'!B4:G29,MATCH(16,B4:B29,0),3)</f>
        <v>136</v>
      </c>
      <c r="F19" s="6">
        <f>INDEX('10oferty s.'!B4:G29,MATCH(16,B4:B29,0),4)</f>
        <v>-37</v>
      </c>
      <c r="G19" s="61">
        <f>INDEX('10oferty s.'!B4:G29,MATCH(16,B4:B29,0),5)</f>
        <v>123</v>
      </c>
      <c r="H19" s="6">
        <f>INDEX('10oferty s.'!B4:G29,MATCH(16,B4:B29,0),6)</f>
        <v>-24</v>
      </c>
    </row>
    <row r="20" spans="2:8" x14ac:dyDescent="0.2">
      <c r="B20" s="6">
        <f>RANK('10oferty s.'!C20,'10oferty s.'!$C$4:'10oferty s.'!$C$29,1)+COUNTIF('10oferty s.'!$C$4:'10oferty s.'!C20,'10oferty s.'!C20)-1</f>
        <v>2</v>
      </c>
      <c r="C20" s="5" t="str">
        <f>INDEX('10oferty s.'!B4:G29,MATCH(17,B4:B29,0),1)</f>
        <v>ropczycko-sędziszowski</v>
      </c>
      <c r="D20" s="6">
        <f>INDEX('10oferty s.'!B4:G29,MATCH(17,B4:B29,0),2)</f>
        <v>100</v>
      </c>
      <c r="E20" s="61">
        <f>INDEX('10oferty s.'!B4:G29,MATCH(17,B4:B29,0),3)</f>
        <v>26</v>
      </c>
      <c r="F20" s="6">
        <f>INDEX('10oferty s.'!B4:G29,MATCH(17,B4:B29,0),4)</f>
        <v>74</v>
      </c>
      <c r="G20" s="61">
        <f>INDEX('10oferty s.'!B4:G29,MATCH(17,B4:B29,0),5)</f>
        <v>49</v>
      </c>
      <c r="H20" s="6">
        <f>INDEX('10oferty s.'!B4:G29,MATCH(17,B4:B29,0),6)</f>
        <v>51</v>
      </c>
    </row>
    <row r="21" spans="2:8" x14ac:dyDescent="0.2">
      <c r="B21" s="6">
        <f>RANK('10oferty s.'!C21,'10oferty s.'!$C$4:'10oferty s.'!$C$29,1)+COUNTIF('10oferty s.'!$C$4:'10oferty s.'!C21,'10oferty s.'!C21)-1</f>
        <v>3</v>
      </c>
      <c r="C21" s="5" t="str">
        <f>INDEX('10oferty s.'!B4:G29,MATCH(18,B4:B29,0),1)</f>
        <v>niżański</v>
      </c>
      <c r="D21" s="6">
        <f>INDEX('10oferty s.'!B4:G29,MATCH(18,B4:B29,0),2)</f>
        <v>107</v>
      </c>
      <c r="E21" s="61">
        <f>INDEX('10oferty s.'!B4:G29,MATCH(18,B4:B29,0),3)</f>
        <v>25</v>
      </c>
      <c r="F21" s="6">
        <f>INDEX('10oferty s.'!B4:G29,MATCH(18,B4:B29,0),4)</f>
        <v>82</v>
      </c>
      <c r="G21" s="61">
        <f>INDEX('10oferty s.'!B4:G29,MATCH(18,B4:B29,0),5)</f>
        <v>69</v>
      </c>
      <c r="H21" s="6">
        <f>INDEX('10oferty s.'!B4:G29,MATCH(18,B4:B29,0),6)</f>
        <v>38</v>
      </c>
    </row>
    <row r="22" spans="2:8" x14ac:dyDescent="0.2">
      <c r="B22" s="6">
        <f>RANK('10oferty s.'!C22,'10oferty s.'!$C$4:'10oferty s.'!$C$29,1)+COUNTIF('10oferty s.'!$C$4:'10oferty s.'!C22,'10oferty s.'!C22)-1</f>
        <v>15</v>
      </c>
      <c r="C22" s="5" t="str">
        <f>INDEX('10oferty s.'!B4:G29,MATCH(19,B4:B29,0),1)</f>
        <v>jasielski</v>
      </c>
      <c r="D22" s="6">
        <f>INDEX('10oferty s.'!B4:G29,MATCH(19,B4:B29,0),2)</f>
        <v>137</v>
      </c>
      <c r="E22" s="61">
        <f>INDEX('10oferty s.'!B4:G29,MATCH(19,B4:B29,0),3)</f>
        <v>62</v>
      </c>
      <c r="F22" s="6">
        <f>INDEX('10oferty s.'!B4:G29,MATCH(19,B4:B29,0),4)</f>
        <v>75</v>
      </c>
      <c r="G22" s="61">
        <f>INDEX('10oferty s.'!B4:G29,MATCH(19,B4:B29,0),5)</f>
        <v>123</v>
      </c>
      <c r="H22" s="6">
        <f>INDEX('10oferty s.'!B4:G29,MATCH(19,B4:B29,0),6)</f>
        <v>14</v>
      </c>
    </row>
    <row r="23" spans="2:8" x14ac:dyDescent="0.2">
      <c r="B23" s="6">
        <f>RANK('10oferty s.'!C23,'10oferty s.'!$C$4:'10oferty s.'!$C$29,1)+COUNTIF('10oferty s.'!$C$4:'10oferty s.'!C23,'10oferty s.'!C23)-1</f>
        <v>21</v>
      </c>
      <c r="C23" s="5" t="str">
        <f>INDEX('10oferty s.'!B4:G29,MATCH(20,B4:B29,0),1)</f>
        <v>Przemyśl</v>
      </c>
      <c r="D23" s="6">
        <f>INDEX('10oferty s.'!B4:G29,MATCH(20,B4:B29,0),2)</f>
        <v>147</v>
      </c>
      <c r="E23" s="61">
        <f>INDEX('10oferty s.'!B4:G29,MATCH(20,B4:B29,0),3)</f>
        <v>17</v>
      </c>
      <c r="F23" s="6">
        <f>INDEX('10oferty s.'!B4:G29,MATCH(20,B4:B29,0),4)</f>
        <v>130</v>
      </c>
      <c r="G23" s="61">
        <f>INDEX('10oferty s.'!B4:G29,MATCH(20,B4:B29,0),5)</f>
        <v>49</v>
      </c>
      <c r="H23" s="6">
        <f>INDEX('10oferty s.'!B4:G29,MATCH(20,B4:B29,0),6)</f>
        <v>98</v>
      </c>
    </row>
    <row r="24" spans="2:8" x14ac:dyDescent="0.2">
      <c r="B24" s="6">
        <f>RANK('10oferty s.'!C24,'10oferty s.'!$C$4:'10oferty s.'!$C$29,1)+COUNTIF('10oferty s.'!$C$4:'10oferty s.'!C24,'10oferty s.'!C24)-1</f>
        <v>7</v>
      </c>
      <c r="C24" s="5" t="str">
        <f>INDEX('10oferty s.'!B4:G29,MATCH(21,B4:B29,0),1)</f>
        <v>strzyżowski</v>
      </c>
      <c r="D24" s="6">
        <f>INDEX('10oferty s.'!B4:G29,MATCH(21,B4:B29,0),2)</f>
        <v>173</v>
      </c>
      <c r="E24" s="61">
        <f>INDEX('10oferty s.'!B4:G29,MATCH(21,B4:B29,0),3)</f>
        <v>18</v>
      </c>
      <c r="F24" s="6">
        <f>INDEX('10oferty s.'!B4:G29,MATCH(21,B4:B29,0),4)</f>
        <v>155</v>
      </c>
      <c r="G24" s="61">
        <f>INDEX('10oferty s.'!B4:G29,MATCH(21,B4:B29,0),5)</f>
        <v>143</v>
      </c>
      <c r="H24" s="6">
        <f>INDEX('10oferty s.'!B4:G29,MATCH(21,B4:B29,0),6)</f>
        <v>30</v>
      </c>
    </row>
    <row r="25" spans="2:8" x14ac:dyDescent="0.2">
      <c r="B25" s="6">
        <f>RANK('10oferty s.'!C25,'10oferty s.'!$C$4:'10oferty s.'!$C$29,1)+COUNTIF('10oferty s.'!$C$4:'10oferty s.'!C25,'10oferty s.'!C25)-1</f>
        <v>6</v>
      </c>
      <c r="C25" s="5" t="str">
        <f>INDEX('10oferty s.'!B4:G29,MATCH(22,B4:B29,0),1)</f>
        <v>mielecki</v>
      </c>
      <c r="D25" s="6">
        <f>INDEX('10oferty s.'!B4:G29,MATCH(22,B4:B29,0),2)</f>
        <v>178</v>
      </c>
      <c r="E25" s="61">
        <f>INDEX('10oferty s.'!B4:G29,MATCH(22,B4:B29,0),3)</f>
        <v>16</v>
      </c>
      <c r="F25" s="6">
        <f>INDEX('10oferty s.'!B4:G29,MATCH(22,B4:B29,0),4)</f>
        <v>162</v>
      </c>
      <c r="G25" s="61">
        <f>INDEX('10oferty s.'!B4:G29,MATCH(22,B4:B29,0),5)</f>
        <v>130</v>
      </c>
      <c r="H25" s="6">
        <f>INDEX('10oferty s.'!B4:G29,MATCH(22,B4:B29,0),6)</f>
        <v>48</v>
      </c>
    </row>
    <row r="26" spans="2:8" x14ac:dyDescent="0.2">
      <c r="B26" s="6">
        <f>RANK('10oferty s.'!C26,'10oferty s.'!$C$4:'10oferty s.'!$C$29,1)+COUNTIF('10oferty s.'!$C$4:'10oferty s.'!C26,'10oferty s.'!C26)-1</f>
        <v>20</v>
      </c>
      <c r="C26" s="5" t="str">
        <f>INDEX('10oferty s.'!B4:G29,MATCH(23,B4:B29,0),1)</f>
        <v>leżajski</v>
      </c>
      <c r="D26" s="6">
        <f>INDEX('10oferty s.'!B4:G29,MATCH(23,B4:B29,0),2)</f>
        <v>183</v>
      </c>
      <c r="E26" s="61">
        <f>INDEX('10oferty s.'!B4:G29,MATCH(23,B4:B29,0),3)</f>
        <v>8</v>
      </c>
      <c r="F26" s="6">
        <f>INDEX('10oferty s.'!B4:G29,MATCH(23,B4:B29,0),4)</f>
        <v>175</v>
      </c>
      <c r="G26" s="61">
        <f>INDEX('10oferty s.'!B4:G29,MATCH(23,B4:B29,0),5)</f>
        <v>113</v>
      </c>
      <c r="H26" s="6">
        <f>INDEX('10oferty s.'!B4:G29,MATCH(23,B4:B29,0),6)</f>
        <v>70</v>
      </c>
    </row>
    <row r="27" spans="2:8" x14ac:dyDescent="0.2">
      <c r="B27" s="6">
        <f>RANK('10oferty s.'!C27,'10oferty s.'!$C$4:'10oferty s.'!$C$29,1)+COUNTIF('10oferty s.'!$C$4:'10oferty s.'!C27,'10oferty s.'!C27)-1</f>
        <v>10</v>
      </c>
      <c r="C27" s="5" t="str">
        <f>INDEX('10oferty s.'!B4:G29,MATCH(24,B4:B29,0),1)</f>
        <v>przeworski</v>
      </c>
      <c r="D27" s="6">
        <f>INDEX('10oferty s.'!B4:G29,MATCH(24,B4:B29,0),2)</f>
        <v>200</v>
      </c>
      <c r="E27" s="61">
        <f>INDEX('10oferty s.'!B4:G29,MATCH(24,B4:B29,0),3)</f>
        <v>147</v>
      </c>
      <c r="F27" s="6">
        <f>INDEX('10oferty s.'!B4:G29,MATCH(24,B4:B29,0),4)</f>
        <v>53</v>
      </c>
      <c r="G27" s="61">
        <f>INDEX('10oferty s.'!B4:G29,MATCH(24,B4:B29,0),5)</f>
        <v>144</v>
      </c>
      <c r="H27" s="6">
        <f>INDEX('10oferty s.'!B4:G29,MATCH(24,B4:B29,0),6)</f>
        <v>56</v>
      </c>
    </row>
    <row r="28" spans="2:8" x14ac:dyDescent="0.2">
      <c r="B28" s="6">
        <f>RANK('10oferty s.'!C28,'10oferty s.'!$C$4:'10oferty s.'!$C$29,1)+COUNTIF('10oferty s.'!$C$4:'10oferty s.'!C28,'10oferty s.'!C28)-1</f>
        <v>11</v>
      </c>
      <c r="C28" s="5" t="str">
        <f>INDEX('10oferty s.'!B4:G29,MATCH(25,B4:B29,0),1)</f>
        <v>jarosławski</v>
      </c>
      <c r="D28" s="6">
        <f>INDEX('10oferty s.'!B4:G29,MATCH(25,B4:B29,0),2)</f>
        <v>258</v>
      </c>
      <c r="E28" s="61">
        <f>INDEX('10oferty s.'!B4:G29,MATCH(25,B4:B29,0),3)</f>
        <v>8</v>
      </c>
      <c r="F28" s="6">
        <f>INDEX('10oferty s.'!B4:G29,MATCH(25,B4:B29,0),4)</f>
        <v>250</v>
      </c>
      <c r="G28" s="61">
        <f>INDEX('10oferty s.'!B4:G29,MATCH(25,B4:B29,0),5)</f>
        <v>281</v>
      </c>
      <c r="H28" s="6">
        <f>INDEX('10oferty s.'!B4:G29,MATCH(25,B4:B29,0),6)</f>
        <v>-23</v>
      </c>
    </row>
    <row r="29" spans="2:8" ht="15" x14ac:dyDescent="0.25">
      <c r="B29" s="59">
        <f>RANK('10oferty s.'!C29,'10oferty s.'!$C$4:'10oferty s.'!$C$29,1)+COUNTIF('10oferty s.'!$C$4:'10oferty s.'!C29,'10oferty s.'!C29)-1</f>
        <v>26</v>
      </c>
      <c r="C29" s="58" t="str">
        <f>INDEX('10oferty s.'!B4:G29,MATCH(26,B4:B29,0),1)</f>
        <v>województwo</v>
      </c>
      <c r="D29" s="59">
        <f>INDEX('10oferty s.'!B4:G29,MATCH(26,B4:B29,0),2)</f>
        <v>2513</v>
      </c>
      <c r="E29" s="63">
        <f>INDEX('10oferty s.'!B4:G29,MATCH(26,B4:B29,0),3)</f>
        <v>830</v>
      </c>
      <c r="F29" s="59">
        <f>INDEX('10oferty s.'!B4:G29,MATCH(26,B4:B29,0),4)</f>
        <v>1683</v>
      </c>
      <c r="G29" s="63">
        <f>INDEX('10oferty s.'!B4:G29,MATCH(26,B4:B29,0),5)</f>
        <v>2153</v>
      </c>
      <c r="H29" s="59">
        <f>INDEX('10oferty s.'!B4:G29,MATCH(26,B4:B29,0),6)</f>
        <v>360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  <pageSetUpPr fitToPage="1"/>
  </sheetPr>
  <dimension ref="B1:M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hidden="1" customWidth="1"/>
    <col min="10" max="10" width="6.140625" style="3" hidden="1" customWidth="1"/>
    <col min="11" max="12" width="0" style="3" hidden="1" customWidth="1"/>
    <col min="13" max="13" width="7.140625" style="3" hidden="1" customWidth="1"/>
    <col min="14" max="16384" width="9.140625" style="3"/>
  </cols>
  <sheetData>
    <row r="1" spans="2:11" ht="15" customHeight="1" x14ac:dyDescent="0.2">
      <c r="B1" s="49" t="s">
        <v>121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122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160</v>
      </c>
      <c r="D3" s="57" t="s">
        <v>136</v>
      </c>
      <c r="E3" s="56" t="s">
        <v>28</v>
      </c>
      <c r="F3" s="57" t="s">
        <v>161</v>
      </c>
      <c r="G3" s="56" t="s">
        <v>26</v>
      </c>
    </row>
    <row r="4" spans="2:11" x14ac:dyDescent="0.2">
      <c r="B4" s="5" t="s">
        <v>0</v>
      </c>
      <c r="C4" s="45">
        <v>27</v>
      </c>
      <c r="D4" s="61">
        <v>81</v>
      </c>
      <c r="E4" s="45">
        <f t="shared" ref="E4:E28" si="0">SUM(C4)-D4</f>
        <v>-54</v>
      </c>
      <c r="F4" s="61">
        <v>35</v>
      </c>
      <c r="G4" s="45">
        <f t="shared" ref="G4:G28" si="1">SUM(C4)-F4</f>
        <v>-8</v>
      </c>
      <c r="H4" s="7"/>
    </row>
    <row r="5" spans="2:11" x14ac:dyDescent="0.2">
      <c r="B5" s="5" t="s">
        <v>1</v>
      </c>
      <c r="C5" s="45">
        <v>2</v>
      </c>
      <c r="D5" s="61">
        <v>5</v>
      </c>
      <c r="E5" s="45">
        <f t="shared" si="0"/>
        <v>-3</v>
      </c>
      <c r="F5" s="61">
        <v>6</v>
      </c>
      <c r="G5" s="45">
        <f t="shared" si="1"/>
        <v>-4</v>
      </c>
      <c r="H5" s="7"/>
    </row>
    <row r="6" spans="2:11" x14ac:dyDescent="0.2">
      <c r="B6" s="5" t="s">
        <v>2</v>
      </c>
      <c r="C6" s="45">
        <v>96</v>
      </c>
      <c r="D6" s="61">
        <v>133</v>
      </c>
      <c r="E6" s="45">
        <f t="shared" si="0"/>
        <v>-37</v>
      </c>
      <c r="F6" s="61">
        <v>191</v>
      </c>
      <c r="G6" s="45">
        <f t="shared" si="1"/>
        <v>-95</v>
      </c>
      <c r="H6" s="7"/>
    </row>
    <row r="7" spans="2:11" x14ac:dyDescent="0.2">
      <c r="B7" s="5" t="s">
        <v>3</v>
      </c>
      <c r="C7" s="45">
        <v>93</v>
      </c>
      <c r="D7" s="61">
        <v>77</v>
      </c>
      <c r="E7" s="45">
        <f t="shared" si="0"/>
        <v>16</v>
      </c>
      <c r="F7" s="61">
        <v>132</v>
      </c>
      <c r="G7" s="45">
        <f t="shared" si="1"/>
        <v>-39</v>
      </c>
      <c r="H7" s="7"/>
    </row>
    <row r="8" spans="2:11" x14ac:dyDescent="0.2">
      <c r="B8" s="5" t="s">
        <v>4</v>
      </c>
      <c r="C8" s="45">
        <v>138</v>
      </c>
      <c r="D8" s="61">
        <v>136</v>
      </c>
      <c r="E8" s="45">
        <f t="shared" si="0"/>
        <v>2</v>
      </c>
      <c r="F8" s="61">
        <v>159</v>
      </c>
      <c r="G8" s="45">
        <f t="shared" si="1"/>
        <v>-21</v>
      </c>
      <c r="H8" s="7"/>
    </row>
    <row r="9" spans="2:11" x14ac:dyDescent="0.2">
      <c r="B9" s="5" t="s">
        <v>5</v>
      </c>
      <c r="C9" s="45">
        <v>75</v>
      </c>
      <c r="D9" s="61">
        <v>86</v>
      </c>
      <c r="E9" s="45">
        <f t="shared" si="0"/>
        <v>-11</v>
      </c>
      <c r="F9" s="61">
        <v>79</v>
      </c>
      <c r="G9" s="45">
        <f t="shared" si="1"/>
        <v>-4</v>
      </c>
      <c r="H9" s="7"/>
    </row>
    <row r="10" spans="2:11" x14ac:dyDescent="0.2">
      <c r="B10" s="9" t="s">
        <v>6</v>
      </c>
      <c r="C10" s="45">
        <v>56</v>
      </c>
      <c r="D10" s="61">
        <v>80</v>
      </c>
      <c r="E10" s="45">
        <f t="shared" si="0"/>
        <v>-24</v>
      </c>
      <c r="F10" s="61">
        <v>107</v>
      </c>
      <c r="G10" s="45">
        <f t="shared" si="1"/>
        <v>-51</v>
      </c>
      <c r="H10" s="7"/>
    </row>
    <row r="11" spans="2:11" x14ac:dyDescent="0.2">
      <c r="B11" s="5" t="s">
        <v>7</v>
      </c>
      <c r="C11" s="45">
        <v>32</v>
      </c>
      <c r="D11" s="61">
        <v>19</v>
      </c>
      <c r="E11" s="45">
        <f t="shared" si="0"/>
        <v>13</v>
      </c>
      <c r="F11" s="61">
        <v>9</v>
      </c>
      <c r="G11" s="45">
        <f t="shared" si="1"/>
        <v>23</v>
      </c>
      <c r="H11" s="7"/>
    </row>
    <row r="12" spans="2:11" x14ac:dyDescent="0.2">
      <c r="B12" s="5" t="s">
        <v>8</v>
      </c>
      <c r="C12" s="45">
        <v>65</v>
      </c>
      <c r="D12" s="61">
        <v>54</v>
      </c>
      <c r="E12" s="45">
        <f t="shared" si="0"/>
        <v>11</v>
      </c>
      <c r="F12" s="61">
        <v>73</v>
      </c>
      <c r="G12" s="45">
        <f t="shared" si="1"/>
        <v>-8</v>
      </c>
      <c r="H12" s="7"/>
    </row>
    <row r="13" spans="2:11" x14ac:dyDescent="0.2">
      <c r="B13" s="5" t="s">
        <v>9</v>
      </c>
      <c r="C13" s="45">
        <v>69</v>
      </c>
      <c r="D13" s="61">
        <v>32</v>
      </c>
      <c r="E13" s="45">
        <f t="shared" si="0"/>
        <v>37</v>
      </c>
      <c r="F13" s="61">
        <v>59</v>
      </c>
      <c r="G13" s="45">
        <f t="shared" si="1"/>
        <v>10</v>
      </c>
      <c r="H13" s="7"/>
    </row>
    <row r="14" spans="2:11" x14ac:dyDescent="0.2">
      <c r="B14" s="5" t="s">
        <v>10</v>
      </c>
      <c r="C14" s="45">
        <v>60</v>
      </c>
      <c r="D14" s="61">
        <v>67</v>
      </c>
      <c r="E14" s="45">
        <f t="shared" si="0"/>
        <v>-7</v>
      </c>
      <c r="F14" s="61">
        <v>101</v>
      </c>
      <c r="G14" s="45">
        <f t="shared" si="1"/>
        <v>-41</v>
      </c>
      <c r="H14" s="7"/>
    </row>
    <row r="15" spans="2:11" x14ac:dyDescent="0.2">
      <c r="B15" s="5" t="s">
        <v>11</v>
      </c>
      <c r="C15" s="45">
        <v>314</v>
      </c>
      <c r="D15" s="61">
        <v>374</v>
      </c>
      <c r="E15" s="45">
        <f t="shared" si="0"/>
        <v>-60</v>
      </c>
      <c r="F15" s="61">
        <v>228</v>
      </c>
      <c r="G15" s="45">
        <f t="shared" si="1"/>
        <v>86</v>
      </c>
      <c r="H15" s="7"/>
    </row>
    <row r="16" spans="2:11" x14ac:dyDescent="0.2">
      <c r="B16" s="5" t="s">
        <v>12</v>
      </c>
      <c r="C16" s="45">
        <v>51</v>
      </c>
      <c r="D16" s="61">
        <v>73</v>
      </c>
      <c r="E16" s="45">
        <f t="shared" si="0"/>
        <v>-22</v>
      </c>
      <c r="F16" s="61">
        <v>72</v>
      </c>
      <c r="G16" s="45">
        <f t="shared" si="1"/>
        <v>-21</v>
      </c>
      <c r="H16" s="7"/>
    </row>
    <row r="17" spans="2:8" x14ac:dyDescent="0.2">
      <c r="B17" s="5" t="s">
        <v>13</v>
      </c>
      <c r="C17" s="45">
        <v>19</v>
      </c>
      <c r="D17" s="61">
        <v>13</v>
      </c>
      <c r="E17" s="45">
        <f t="shared" si="0"/>
        <v>6</v>
      </c>
      <c r="F17" s="61">
        <v>20</v>
      </c>
      <c r="G17" s="45">
        <f t="shared" si="1"/>
        <v>-1</v>
      </c>
      <c r="H17" s="7"/>
    </row>
    <row r="18" spans="2:8" x14ac:dyDescent="0.2">
      <c r="B18" s="5" t="s">
        <v>14</v>
      </c>
      <c r="C18" s="45">
        <v>172</v>
      </c>
      <c r="D18" s="61">
        <v>183</v>
      </c>
      <c r="E18" s="45">
        <f t="shared" si="0"/>
        <v>-11</v>
      </c>
      <c r="F18" s="61">
        <v>127</v>
      </c>
      <c r="G18" s="45">
        <f t="shared" si="1"/>
        <v>45</v>
      </c>
      <c r="H18" s="7"/>
    </row>
    <row r="19" spans="2:8" x14ac:dyDescent="0.2">
      <c r="B19" s="5" t="s">
        <v>15</v>
      </c>
      <c r="C19" s="45">
        <v>49</v>
      </c>
      <c r="D19" s="61">
        <v>35</v>
      </c>
      <c r="E19" s="45">
        <f t="shared" si="0"/>
        <v>14</v>
      </c>
      <c r="F19" s="61">
        <v>56</v>
      </c>
      <c r="G19" s="45">
        <f t="shared" si="1"/>
        <v>-7</v>
      </c>
      <c r="H19" s="7"/>
    </row>
    <row r="20" spans="2:8" x14ac:dyDescent="0.2">
      <c r="B20" s="5" t="s">
        <v>16</v>
      </c>
      <c r="C20" s="45">
        <v>71</v>
      </c>
      <c r="D20" s="61">
        <v>108</v>
      </c>
      <c r="E20" s="45">
        <f t="shared" si="0"/>
        <v>-37</v>
      </c>
      <c r="F20" s="61">
        <v>87</v>
      </c>
      <c r="G20" s="45">
        <f t="shared" si="1"/>
        <v>-16</v>
      </c>
      <c r="H20" s="7"/>
    </row>
    <row r="21" spans="2:8" x14ac:dyDescent="0.2">
      <c r="B21" s="5" t="s">
        <v>17</v>
      </c>
      <c r="C21" s="45">
        <v>66</v>
      </c>
      <c r="D21" s="61">
        <v>48</v>
      </c>
      <c r="E21" s="45">
        <f t="shared" si="0"/>
        <v>18</v>
      </c>
      <c r="F21" s="61">
        <v>50</v>
      </c>
      <c r="G21" s="45">
        <f t="shared" si="1"/>
        <v>16</v>
      </c>
      <c r="H21" s="7"/>
    </row>
    <row r="22" spans="2:8" x14ac:dyDescent="0.2">
      <c r="B22" s="5" t="s">
        <v>18</v>
      </c>
      <c r="C22" s="45">
        <v>68</v>
      </c>
      <c r="D22" s="61">
        <v>63</v>
      </c>
      <c r="E22" s="45">
        <f t="shared" si="0"/>
        <v>5</v>
      </c>
      <c r="F22" s="61">
        <v>67</v>
      </c>
      <c r="G22" s="45">
        <f t="shared" si="1"/>
        <v>1</v>
      </c>
      <c r="H22" s="7"/>
    </row>
    <row r="23" spans="2:8" x14ac:dyDescent="0.2">
      <c r="B23" s="5" t="s">
        <v>19</v>
      </c>
      <c r="C23" s="45">
        <v>126</v>
      </c>
      <c r="D23" s="61">
        <v>60</v>
      </c>
      <c r="E23" s="45">
        <f t="shared" si="0"/>
        <v>66</v>
      </c>
      <c r="F23" s="61">
        <v>109</v>
      </c>
      <c r="G23" s="45">
        <f t="shared" si="1"/>
        <v>17</v>
      </c>
      <c r="H23" s="7"/>
    </row>
    <row r="24" spans="2:8" x14ac:dyDescent="0.2">
      <c r="B24" s="5" t="s">
        <v>20</v>
      </c>
      <c r="C24" s="45">
        <v>58</v>
      </c>
      <c r="D24" s="61">
        <v>74</v>
      </c>
      <c r="E24" s="45">
        <f t="shared" si="0"/>
        <v>-16</v>
      </c>
      <c r="F24" s="61">
        <v>53</v>
      </c>
      <c r="G24" s="45">
        <f t="shared" si="1"/>
        <v>5</v>
      </c>
      <c r="H24" s="7"/>
    </row>
    <row r="25" spans="2:8" x14ac:dyDescent="0.2">
      <c r="B25" s="5" t="s">
        <v>21</v>
      </c>
      <c r="C25" s="45">
        <v>42</v>
      </c>
      <c r="D25" s="61">
        <v>56</v>
      </c>
      <c r="E25" s="45">
        <f t="shared" si="0"/>
        <v>-14</v>
      </c>
      <c r="F25" s="61">
        <v>52</v>
      </c>
      <c r="G25" s="45">
        <f t="shared" si="1"/>
        <v>-10</v>
      </c>
      <c r="H25" s="7"/>
    </row>
    <row r="26" spans="2:8" x14ac:dyDescent="0.2">
      <c r="B26" s="5" t="s">
        <v>22</v>
      </c>
      <c r="C26" s="45">
        <v>40</v>
      </c>
      <c r="D26" s="61">
        <v>9</v>
      </c>
      <c r="E26" s="45">
        <f t="shared" si="0"/>
        <v>31</v>
      </c>
      <c r="F26" s="61">
        <v>36</v>
      </c>
      <c r="G26" s="45">
        <f t="shared" si="1"/>
        <v>4</v>
      </c>
      <c r="H26" s="7"/>
    </row>
    <row r="27" spans="2:8" x14ac:dyDescent="0.2">
      <c r="B27" s="5" t="s">
        <v>23</v>
      </c>
      <c r="C27" s="45">
        <v>266</v>
      </c>
      <c r="D27" s="61">
        <v>322</v>
      </c>
      <c r="E27" s="45">
        <f t="shared" si="0"/>
        <v>-56</v>
      </c>
      <c r="F27" s="61">
        <v>298</v>
      </c>
      <c r="G27" s="45">
        <f t="shared" si="1"/>
        <v>-32</v>
      </c>
      <c r="H27" s="7"/>
    </row>
    <row r="28" spans="2:8" x14ac:dyDescent="0.2">
      <c r="B28" s="5" t="s">
        <v>24</v>
      </c>
      <c r="C28" s="45">
        <v>53</v>
      </c>
      <c r="D28" s="61">
        <v>35</v>
      </c>
      <c r="E28" s="45">
        <f t="shared" si="0"/>
        <v>18</v>
      </c>
      <c r="F28" s="61">
        <v>50</v>
      </c>
      <c r="G28" s="45">
        <f t="shared" si="1"/>
        <v>3</v>
      </c>
      <c r="H28" s="7"/>
    </row>
    <row r="29" spans="2:8" ht="15" x14ac:dyDescent="0.25">
      <c r="B29" s="58" t="s">
        <v>25</v>
      </c>
      <c r="C29" s="77">
        <f>SUM(C4:C28)</f>
        <v>2108</v>
      </c>
      <c r="D29" s="63">
        <f>SUM(D4:D28)</f>
        <v>2223</v>
      </c>
      <c r="E29" s="77">
        <f>SUM(E4:E28)</f>
        <v>-115</v>
      </c>
      <c r="F29" s="63">
        <f>SUM(F4:F28)</f>
        <v>2256</v>
      </c>
      <c r="G29" s="77">
        <f>SUM(G4:G28)</f>
        <v>-148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120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42.75" x14ac:dyDescent="0.2">
      <c r="B3" s="62" t="s">
        <v>86</v>
      </c>
      <c r="C3" s="55" t="str">
        <f>T('10oferty s.'!B3)</f>
        <v>powiaty</v>
      </c>
      <c r="D3" s="55" t="str">
        <f>T('10oferty s.'!C3)</f>
        <v>liczba ofert w 02-'24 r.</v>
      </c>
      <c r="E3" s="55" t="str">
        <f>T('10oferty s.'!D3)</f>
        <v>liczba ofert w 01-'24 r.</v>
      </c>
      <c r="F3" s="55" t="str">
        <f>T('10oferty s.'!E3)</f>
        <v>wzrost/spadek do poprzedniego  miesiąca</v>
      </c>
      <c r="G3" s="55" t="str">
        <f>T('10oferty s.'!F3)</f>
        <v>liczba ofert w 02-'23 r.</v>
      </c>
      <c r="H3" s="55" t="str">
        <f>T('10oferty s.'!G3)</f>
        <v>wzrost/spadek do analogicznego okresu ubr.</v>
      </c>
    </row>
    <row r="4" spans="2:8" x14ac:dyDescent="0.2">
      <c r="B4" s="6">
        <f>RANK('11of st. k.'!C4,'11of st. k.'!$C$4:'11of st. k.'!$C$29,1)+COUNTIF('11of st. k.'!$C$4:'11of st. k.'!C4,'11of st. k.'!C4)-1</f>
        <v>3</v>
      </c>
      <c r="C4" s="5" t="str">
        <f>INDEX('11of st. k.'!B4:G29,MATCH(1,B4:B29,0),1)</f>
        <v>brzozowski</v>
      </c>
      <c r="D4" s="25">
        <f>INDEX('11of st. k.'!B4:G29,MATCH(1,B4:B29,0),2)</f>
        <v>2</v>
      </c>
      <c r="E4" s="61">
        <f>INDEX('11of st. k.'!B4:G29,MATCH(1,B4:B29,0),3)</f>
        <v>5</v>
      </c>
      <c r="F4" s="6">
        <f>INDEX('11of st. k.'!B4:G29,MATCH(1,B4:B29,0),4)</f>
        <v>-3</v>
      </c>
      <c r="G4" s="61">
        <f>INDEX('11of st. k.'!B4:G29,MATCH(1,B4:B29,0),5)</f>
        <v>6</v>
      </c>
      <c r="H4" s="6">
        <f>INDEX('11of st. k.'!B4:G29,MATCH(1,B4:B29,0),6)</f>
        <v>-4</v>
      </c>
    </row>
    <row r="5" spans="2:8" x14ac:dyDescent="0.2">
      <c r="B5" s="6">
        <f>RANK('11of st. k.'!C5,'11of st. k.'!$C$4:'11of st. k.'!$C$29,1)+COUNTIF('11of st. k.'!$C$4:'11of st. k.'!C5,'11of st. k.'!C5)-1</f>
        <v>1</v>
      </c>
      <c r="C5" s="5" t="str">
        <f>INDEX('11of st. k.'!B4:G29,MATCH(2,B4:B29,0),1)</f>
        <v>przemyski</v>
      </c>
      <c r="D5" s="6">
        <f>INDEX('11of st. k.'!B4:G29,MATCH(2,B4:B29,0),2)</f>
        <v>19</v>
      </c>
      <c r="E5" s="61">
        <f>INDEX('11of st. k.'!B4:G29,MATCH(2,B4:B29,0),3)</f>
        <v>13</v>
      </c>
      <c r="F5" s="6">
        <f>INDEX('11of st. k.'!B4:G29,MATCH(2,B4:B29,0),4)</f>
        <v>6</v>
      </c>
      <c r="G5" s="61">
        <f>INDEX('11of st. k.'!B4:G29,MATCH(2,B4:B29,0),5)</f>
        <v>20</v>
      </c>
      <c r="H5" s="6">
        <f>INDEX('11of st. k.'!B4:G29,MATCH(2,B4:B29,0),6)</f>
        <v>-1</v>
      </c>
    </row>
    <row r="6" spans="2:8" x14ac:dyDescent="0.2">
      <c r="B6" s="6">
        <f>RANK('11of st. k.'!C6,'11of st. k.'!$C$4:'11of st. k.'!$C$29,1)+COUNTIF('11of st. k.'!$C$4:'11of st. k.'!C6,'11of st. k.'!C6)-1</f>
        <v>20</v>
      </c>
      <c r="C6" s="5" t="str">
        <f>INDEX('11of st. k.'!B4:G29,MATCH(3,B4:B29,0),1)</f>
        <v>bieszczadzki</v>
      </c>
      <c r="D6" s="6">
        <f>INDEX('11of st. k.'!B4:G29,MATCH(3,B4:B29,0),2)</f>
        <v>27</v>
      </c>
      <c r="E6" s="61">
        <f>INDEX('11of st. k.'!B4:G29,MATCH(3,B4:B29,0),3)</f>
        <v>81</v>
      </c>
      <c r="F6" s="6">
        <f>INDEX('11of st. k.'!B4:G29,MATCH(3,B4:B29,0),4)</f>
        <v>-54</v>
      </c>
      <c r="G6" s="61">
        <f>INDEX('11of st. k.'!B4:G29,MATCH(3,B4:B29,0),5)</f>
        <v>35</v>
      </c>
      <c r="H6" s="6">
        <f>INDEX('11of st. k.'!B4:G29,MATCH(3,B4:B29,0),6)</f>
        <v>-8</v>
      </c>
    </row>
    <row r="7" spans="2:8" x14ac:dyDescent="0.2">
      <c r="B7" s="6">
        <f>RANK('11of st. k.'!C7,'11of st. k.'!$C$4:'11of st. k.'!$C$29,1)+COUNTIF('11of st. k.'!$C$4:'11of st. k.'!C7,'11of st. k.'!C7)-1</f>
        <v>19</v>
      </c>
      <c r="C7" s="5" t="str">
        <f>INDEX('11of st. k.'!B4:G29,MATCH(4,B4:B29,0),1)</f>
        <v>leski</v>
      </c>
      <c r="D7" s="6">
        <f>INDEX('11of st. k.'!B4:G29,MATCH(4,B4:B29,0),2)</f>
        <v>32</v>
      </c>
      <c r="E7" s="61">
        <f>INDEX('11of st. k.'!B4:G29,MATCH(4,B4:B29,0),3)</f>
        <v>19</v>
      </c>
      <c r="F7" s="6">
        <f>INDEX('11of st. k.'!B4:G29,MATCH(4,B4:B29,0),4)</f>
        <v>13</v>
      </c>
      <c r="G7" s="61">
        <f>INDEX('11of st. k.'!B4:G29,MATCH(4,B4:B29,0),5)</f>
        <v>9</v>
      </c>
      <c r="H7" s="6">
        <f>INDEX('11of st. k.'!B4:G29,MATCH(4,B4:B29,0),6)</f>
        <v>23</v>
      </c>
    </row>
    <row r="8" spans="2:8" x14ac:dyDescent="0.2">
      <c r="B8" s="6">
        <f>RANK('11of st. k.'!C8,'11of st. k.'!$C$4:'11of st. k.'!$C$29,1)+COUNTIF('11of st. k.'!$C$4:'11of st. k.'!C8,'11of st. k.'!C8)-1</f>
        <v>22</v>
      </c>
      <c r="C8" s="5" t="str">
        <f>INDEX('11of st. k.'!B4:G29,MATCH(5,B4:B29,0),1)</f>
        <v>Przemyśl</v>
      </c>
      <c r="D8" s="6">
        <f>INDEX('11of st. k.'!B4:G29,MATCH(5,B4:B29,0),2)</f>
        <v>40</v>
      </c>
      <c r="E8" s="61">
        <f>INDEX('11of st. k.'!B4:G29,MATCH(5,B4:B29,0),3)</f>
        <v>9</v>
      </c>
      <c r="F8" s="6">
        <f>INDEX('11of st. k.'!B4:G29,MATCH(5,B4:B29,0),4)</f>
        <v>31</v>
      </c>
      <c r="G8" s="61">
        <f>INDEX('11of st. k.'!B4:G29,MATCH(5,B4:B29,0),5)</f>
        <v>36</v>
      </c>
      <c r="H8" s="6">
        <f>INDEX('11of st. k.'!B4:G29,MATCH(5,B4:B29,0),6)</f>
        <v>4</v>
      </c>
    </row>
    <row r="9" spans="2:8" x14ac:dyDescent="0.2">
      <c r="B9" s="6">
        <f>RANK('11of st. k.'!C9,'11of st. k.'!$C$4:'11of st. k.'!$C$29,1)+COUNTIF('11of st. k.'!$C$4:'11of st. k.'!C9,'11of st. k.'!C9)-1</f>
        <v>18</v>
      </c>
      <c r="C9" s="5" t="str">
        <f>INDEX('11of st. k.'!B4:G29,MATCH(6,B4:B29,0),1)</f>
        <v>Krosno</v>
      </c>
      <c r="D9" s="6">
        <f>INDEX('11of st. k.'!B4:G29,MATCH(6,B4:B29,0),2)</f>
        <v>42</v>
      </c>
      <c r="E9" s="61">
        <f>INDEX('11of st. k.'!B4:G29,MATCH(6,B4:B29,0),3)</f>
        <v>56</v>
      </c>
      <c r="F9" s="6">
        <f>INDEX('11of st. k.'!B4:G29,MATCH(6,B4:B29,0),4)</f>
        <v>-14</v>
      </c>
      <c r="G9" s="61">
        <f>INDEX('11of st. k.'!B4:G29,MATCH(6,B4:B29,0),5)</f>
        <v>52</v>
      </c>
      <c r="H9" s="6">
        <f>INDEX('11of st. k.'!B4:G29,MATCH(6,B4:B29,0),6)</f>
        <v>-10</v>
      </c>
    </row>
    <row r="10" spans="2:8" x14ac:dyDescent="0.2">
      <c r="B10" s="6">
        <f>RANK('11of st. k.'!C10,'11of st. k.'!$C$4:'11of st. k.'!$C$29,1)+COUNTIF('11of st. k.'!$C$4:'11of st. k.'!C10,'11of st. k.'!C10)-1</f>
        <v>10</v>
      </c>
      <c r="C10" s="9" t="str">
        <f>INDEX('11of st. k.'!B4:G29,MATCH(7,B4:B29,0),1)</f>
        <v>ropczycko-sędziszowski</v>
      </c>
      <c r="D10" s="6">
        <f>INDEX('11of st. k.'!B4:G29,MATCH(7,B4:B29,0),2)</f>
        <v>49</v>
      </c>
      <c r="E10" s="61">
        <f>INDEX('11of st. k.'!B4:G29,MATCH(7,B4:B29,0),3)</f>
        <v>35</v>
      </c>
      <c r="F10" s="6">
        <f>INDEX('11of st. k.'!B4:G29,MATCH(7,B4:B29,0),4)</f>
        <v>14</v>
      </c>
      <c r="G10" s="61">
        <f>INDEX('11of st. k.'!B4:G29,MATCH(7,B4:B29,0),5)</f>
        <v>56</v>
      </c>
      <c r="H10" s="6">
        <f>INDEX('11of st. k.'!B4:G29,MATCH(7,B4:B29,0),6)</f>
        <v>-7</v>
      </c>
    </row>
    <row r="11" spans="2:8" x14ac:dyDescent="0.2">
      <c r="B11" s="6">
        <f>RANK('11of st. k.'!C11,'11of st. k.'!$C$4:'11of st. k.'!$C$29,1)+COUNTIF('11of st. k.'!$C$4:'11of st. k.'!C11,'11of st. k.'!C11)-1</f>
        <v>4</v>
      </c>
      <c r="C11" s="5" t="str">
        <f>INDEX('11of st. k.'!B4:G29,MATCH(8,B4:B29,0),1)</f>
        <v>niżański</v>
      </c>
      <c r="D11" s="6">
        <f>INDEX('11of st. k.'!B4:G29,MATCH(8,B4:B29,0),2)</f>
        <v>51</v>
      </c>
      <c r="E11" s="61">
        <f>INDEX('11of st. k.'!B4:G29,MATCH(8,B4:B29,0),3)</f>
        <v>73</v>
      </c>
      <c r="F11" s="6">
        <f>INDEX('11of st. k.'!B4:G29,MATCH(8,B4:B29,0),4)</f>
        <v>-22</v>
      </c>
      <c r="G11" s="61">
        <f>INDEX('11of st. k.'!B4:G29,MATCH(8,B4:B29,0),5)</f>
        <v>72</v>
      </c>
      <c r="H11" s="6">
        <f>INDEX('11of st. k.'!B4:G29,MATCH(8,B4:B29,0),6)</f>
        <v>-21</v>
      </c>
    </row>
    <row r="12" spans="2:8" x14ac:dyDescent="0.2">
      <c r="B12" s="6">
        <f>RANK('11of st. k.'!C12,'11of st. k.'!$C$4:'11of st. k.'!$C$29,1)+COUNTIF('11of st. k.'!$C$4:'11of st. k.'!C12,'11of st. k.'!C12)-1</f>
        <v>13</v>
      </c>
      <c r="C12" s="5" t="str">
        <f>INDEX('11of st. k.'!B4:G29,MATCH(9,B4:B29,0),1)</f>
        <v>Tarnobrzeg</v>
      </c>
      <c r="D12" s="6">
        <f>INDEX('11of st. k.'!B4:G29,MATCH(9,B4:B29,0),2)</f>
        <v>53</v>
      </c>
      <c r="E12" s="61">
        <f>INDEX('11of st. k.'!B4:G29,MATCH(9,B4:B29,0),3)</f>
        <v>35</v>
      </c>
      <c r="F12" s="6">
        <f>INDEX('11of st. k.'!B4:G29,MATCH(9,B4:B29,0),4)</f>
        <v>18</v>
      </c>
      <c r="G12" s="61">
        <f>INDEX('11of st. k.'!B4:G29,MATCH(9,B4:B29,0),5)</f>
        <v>50</v>
      </c>
      <c r="H12" s="6">
        <f>INDEX('11of st. k.'!B4:G29,MATCH(9,B4:B29,0),6)</f>
        <v>3</v>
      </c>
    </row>
    <row r="13" spans="2:8" x14ac:dyDescent="0.2">
      <c r="B13" s="6">
        <f>RANK('11of st. k.'!C13,'11of st. k.'!$C$4:'11of st. k.'!$C$29,1)+COUNTIF('11of st. k.'!$C$4:'11of st. k.'!C13,'11of st. k.'!C13)-1</f>
        <v>16</v>
      </c>
      <c r="C13" s="5" t="str">
        <f>INDEX('11of st. k.'!B4:G29,MATCH(10,B4:B29,0),1)</f>
        <v>krośnieński</v>
      </c>
      <c r="D13" s="6">
        <f>INDEX('11of st. k.'!B4:G29,MATCH(10,B4:B29,0),2)</f>
        <v>56</v>
      </c>
      <c r="E13" s="61">
        <f>INDEX('11of st. k.'!B4:G29,MATCH(10,B4:B29,0),3)</f>
        <v>80</v>
      </c>
      <c r="F13" s="6">
        <f>INDEX('11of st. k.'!B4:G29,MATCH(10,B4:B29,0),4)</f>
        <v>-24</v>
      </c>
      <c r="G13" s="61">
        <f>INDEX('11of st. k.'!B4:G29,MATCH(10,B4:B29,0),5)</f>
        <v>107</v>
      </c>
      <c r="H13" s="6">
        <f>INDEX('11of st. k.'!B4:G29,MATCH(10,B4:B29,0),6)</f>
        <v>-51</v>
      </c>
    </row>
    <row r="14" spans="2:8" x14ac:dyDescent="0.2">
      <c r="B14" s="6">
        <f>RANK('11of st. k.'!C14,'11of st. k.'!$C$4:'11of st. k.'!$C$29,1)+COUNTIF('11of st. k.'!$C$4:'11of st. k.'!C14,'11of st. k.'!C14)-1</f>
        <v>12</v>
      </c>
      <c r="C14" s="5" t="str">
        <f>INDEX('11of st. k.'!B4:G29,MATCH(11,B4:B29,0),1)</f>
        <v xml:space="preserve">tarnobrzeski </v>
      </c>
      <c r="D14" s="6">
        <f>INDEX('11of st. k.'!B4:G29,MATCH(11,B4:B29,0),2)</f>
        <v>58</v>
      </c>
      <c r="E14" s="61">
        <f>INDEX('11of st. k.'!B4:G29,MATCH(11,B4:B29,0),3)</f>
        <v>74</v>
      </c>
      <c r="F14" s="6">
        <f>INDEX('11of st. k.'!B4:G29,MATCH(11,B4:B29,0),4)</f>
        <v>-16</v>
      </c>
      <c r="G14" s="61">
        <f>INDEX('11of st. k.'!B4:G29,MATCH(11,B4:B29,0),5)</f>
        <v>53</v>
      </c>
      <c r="H14" s="6">
        <f>INDEX('11of st. k.'!B4:G29,MATCH(11,B4:B29,0),6)</f>
        <v>5</v>
      </c>
    </row>
    <row r="15" spans="2:8" x14ac:dyDescent="0.2">
      <c r="B15" s="6">
        <f>RANK('11of st. k.'!C15,'11of st. k.'!$C$4:'11of st. k.'!$C$29,1)+COUNTIF('11of st. k.'!$C$4:'11of st. k.'!C15,'11of st. k.'!C15)-1</f>
        <v>25</v>
      </c>
      <c r="C15" s="5" t="str">
        <f>INDEX('11of st. k.'!B4:G29,MATCH(12,B4:B29,0),1)</f>
        <v>łańcucki</v>
      </c>
      <c r="D15" s="6">
        <f>INDEX('11of st. k.'!B4:G29,MATCH(12,B4:B29,0),2)</f>
        <v>60</v>
      </c>
      <c r="E15" s="61">
        <f>INDEX('11of st. k.'!B4:G29,MATCH(12,B4:B29,0),3)</f>
        <v>67</v>
      </c>
      <c r="F15" s="6">
        <f>INDEX('11of st. k.'!B4:G29,MATCH(12,B4:B29,0),4)</f>
        <v>-7</v>
      </c>
      <c r="G15" s="61">
        <f>INDEX('11of st. k.'!B4:G29,MATCH(12,B4:B29,0),5)</f>
        <v>101</v>
      </c>
      <c r="H15" s="6">
        <f>INDEX('11of st. k.'!B4:G29,MATCH(12,B4:B29,0),6)</f>
        <v>-41</v>
      </c>
    </row>
    <row r="16" spans="2:8" x14ac:dyDescent="0.2">
      <c r="B16" s="6">
        <f>RANK('11of st. k.'!C16,'11of st. k.'!$C$4:'11of st. k.'!$C$29,1)+COUNTIF('11of st. k.'!$C$4:'11of st. k.'!C16,'11of st. k.'!C16)-1</f>
        <v>8</v>
      </c>
      <c r="C16" s="5" t="str">
        <f>INDEX('11of st. k.'!B4:G29,MATCH(13,B4:B29,0),1)</f>
        <v>leżajski</v>
      </c>
      <c r="D16" s="6">
        <f>INDEX('11of st. k.'!B4:G29,MATCH(13,B4:B29,0),2)</f>
        <v>65</v>
      </c>
      <c r="E16" s="61">
        <f>INDEX('11of st. k.'!B4:G29,MATCH(13,B4:B29,0),3)</f>
        <v>54</v>
      </c>
      <c r="F16" s="6">
        <f>INDEX('11of st. k.'!B4:G29,MATCH(13,B4:B29,0),4)</f>
        <v>11</v>
      </c>
      <c r="G16" s="61">
        <f>INDEX('11of st. k.'!B4:G29,MATCH(13,B4:B29,0),5)</f>
        <v>73</v>
      </c>
      <c r="H16" s="6">
        <f>INDEX('11of st. k.'!B4:G29,MATCH(13,B4:B29,0),6)</f>
        <v>-8</v>
      </c>
    </row>
    <row r="17" spans="2:8" x14ac:dyDescent="0.2">
      <c r="B17" s="6">
        <f>RANK('11of st. k.'!C17,'11of st. k.'!$C$4:'11of st. k.'!$C$29,1)+COUNTIF('11of st. k.'!$C$4:'11of st. k.'!C17,'11of st. k.'!C17)-1</f>
        <v>2</v>
      </c>
      <c r="C17" s="5" t="str">
        <f>INDEX('11of st. k.'!B4:G29,MATCH(14,B4:B29,0),1)</f>
        <v>sanocki</v>
      </c>
      <c r="D17" s="6">
        <f>INDEX('11of st. k.'!B4:G29,MATCH(14,B4:B29,0),2)</f>
        <v>66</v>
      </c>
      <c r="E17" s="61">
        <f>INDEX('11of st. k.'!B4:G29,MATCH(14,B4:B29,0),3)</f>
        <v>48</v>
      </c>
      <c r="F17" s="6">
        <f>INDEX('11of st. k.'!B4:G29,MATCH(14,B4:B29,0),4)</f>
        <v>18</v>
      </c>
      <c r="G17" s="61">
        <f>INDEX('11of st. k.'!B4:G29,MATCH(14,B4:B29,0),5)</f>
        <v>50</v>
      </c>
      <c r="H17" s="6">
        <f>INDEX('11of st. k.'!B4:G29,MATCH(14,B4:B29,0),6)</f>
        <v>16</v>
      </c>
    </row>
    <row r="18" spans="2:8" x14ac:dyDescent="0.2">
      <c r="B18" s="6">
        <f>RANK('11of st. k.'!C18,'11of st. k.'!$C$4:'11of st. k.'!$C$29,1)+COUNTIF('11of st. k.'!$C$4:'11of st. k.'!C18,'11of st. k.'!C18)-1</f>
        <v>23</v>
      </c>
      <c r="C18" s="5" t="str">
        <f>INDEX('11of st. k.'!B4:G29,MATCH(15,B4:B29,0),1)</f>
        <v>stalowowolski</v>
      </c>
      <c r="D18" s="6">
        <f>INDEX('11of st. k.'!B4:G29,MATCH(15,B4:B29,0),2)</f>
        <v>68</v>
      </c>
      <c r="E18" s="61">
        <f>INDEX('11of st. k.'!B4:G29,MATCH(15,B4:B29,0),3)</f>
        <v>63</v>
      </c>
      <c r="F18" s="6">
        <f>INDEX('11of st. k.'!B4:G29,MATCH(15,B4:B29,0),4)</f>
        <v>5</v>
      </c>
      <c r="G18" s="61">
        <f>INDEX('11of st. k.'!B4:G29,MATCH(15,B4:B29,0),5)</f>
        <v>67</v>
      </c>
      <c r="H18" s="6">
        <f>INDEX('11of st. k.'!B4:G29,MATCH(15,B4:B29,0),6)</f>
        <v>1</v>
      </c>
    </row>
    <row r="19" spans="2:8" x14ac:dyDescent="0.2">
      <c r="B19" s="6">
        <f>RANK('11of st. k.'!C19,'11of st. k.'!$C$4:'11of st. k.'!$C$29,1)+COUNTIF('11of st. k.'!$C$4:'11of st. k.'!C19,'11of st. k.'!C19)-1</f>
        <v>7</v>
      </c>
      <c r="C19" s="5" t="str">
        <f>INDEX('11of st. k.'!B4:G29,MATCH(16,B4:B29,0),1)</f>
        <v>lubaczowski</v>
      </c>
      <c r="D19" s="6">
        <f>INDEX('11of st. k.'!B4:G29,MATCH(16,B4:B29,0),2)</f>
        <v>69</v>
      </c>
      <c r="E19" s="61">
        <f>INDEX('11of st. k.'!B4:G29,MATCH(16,B4:B29,0),3)</f>
        <v>32</v>
      </c>
      <c r="F19" s="6">
        <f>INDEX('11of st. k.'!B4:G29,MATCH(16,B4:B29,0),4)</f>
        <v>37</v>
      </c>
      <c r="G19" s="61">
        <f>INDEX('11of st. k.'!B4:G29,MATCH(16,B4:B29,0),5)</f>
        <v>59</v>
      </c>
      <c r="H19" s="6">
        <f>INDEX('11of st. k.'!B4:G29,MATCH(16,B4:B29,0),6)</f>
        <v>10</v>
      </c>
    </row>
    <row r="20" spans="2:8" x14ac:dyDescent="0.2">
      <c r="B20" s="6">
        <f>RANK('11of st. k.'!C20,'11of st. k.'!$C$4:'11of st. k.'!$C$29,1)+COUNTIF('11of st. k.'!$C$4:'11of st. k.'!C20,'11of st. k.'!C20)-1</f>
        <v>17</v>
      </c>
      <c r="C20" s="5" t="str">
        <f>INDEX('11of st. k.'!B4:G29,MATCH(17,B4:B29,0),1)</f>
        <v>rzeszowski</v>
      </c>
      <c r="D20" s="6">
        <f>INDEX('11of st. k.'!B4:G29,MATCH(17,B4:B29,0),2)</f>
        <v>71</v>
      </c>
      <c r="E20" s="61">
        <f>INDEX('11of st. k.'!B4:G29,MATCH(17,B4:B29,0),3)</f>
        <v>108</v>
      </c>
      <c r="F20" s="6">
        <f>INDEX('11of st. k.'!B4:G29,MATCH(17,B4:B29,0),4)</f>
        <v>-37</v>
      </c>
      <c r="G20" s="61">
        <f>INDEX('11of st. k.'!B4:G29,MATCH(17,B4:B29,0),5)</f>
        <v>87</v>
      </c>
      <c r="H20" s="6">
        <f>INDEX('11of st. k.'!B4:G29,MATCH(17,B4:B29,0),6)</f>
        <v>-16</v>
      </c>
    </row>
    <row r="21" spans="2:8" x14ac:dyDescent="0.2">
      <c r="B21" s="6">
        <f>RANK('11of st. k.'!C21,'11of st. k.'!$C$4:'11of st. k.'!$C$29,1)+COUNTIF('11of st. k.'!$C$4:'11of st. k.'!C21,'11of st. k.'!C21)-1</f>
        <v>14</v>
      </c>
      <c r="C21" s="5" t="str">
        <f>INDEX('11of st. k.'!B4:G29,MATCH(18,B4:B29,0),1)</f>
        <v>kolbuszowski</v>
      </c>
      <c r="D21" s="6">
        <f>INDEX('11of st. k.'!B4:G29,MATCH(18,B4:B29,0),2)</f>
        <v>75</v>
      </c>
      <c r="E21" s="61">
        <f>INDEX('11of st. k.'!B4:G29,MATCH(18,B4:B29,0),3)</f>
        <v>86</v>
      </c>
      <c r="F21" s="6">
        <f>INDEX('11of st. k.'!B4:G29,MATCH(18,B4:B29,0),4)</f>
        <v>-11</v>
      </c>
      <c r="G21" s="61">
        <f>INDEX('11of st. k.'!B4:G29,MATCH(18,B4:B29,0),5)</f>
        <v>79</v>
      </c>
      <c r="H21" s="6">
        <f>INDEX('11of st. k.'!B4:G29,MATCH(18,B4:B29,0),6)</f>
        <v>-4</v>
      </c>
    </row>
    <row r="22" spans="2:8" x14ac:dyDescent="0.2">
      <c r="B22" s="6">
        <f>RANK('11of st. k.'!C22,'11of st. k.'!$C$4:'11of st. k.'!$C$29,1)+COUNTIF('11of st. k.'!$C$4:'11of st. k.'!C22,'11of st. k.'!C22)-1</f>
        <v>15</v>
      </c>
      <c r="C22" s="5" t="str">
        <f>INDEX('11of st. k.'!B4:G29,MATCH(19,B4:B29,0),1)</f>
        <v>jarosławski</v>
      </c>
      <c r="D22" s="6">
        <f>INDEX('11of st. k.'!B4:G29,MATCH(19,B4:B29,0),2)</f>
        <v>93</v>
      </c>
      <c r="E22" s="61">
        <f>INDEX('11of st. k.'!B4:G29,MATCH(19,B4:B29,0),3)</f>
        <v>77</v>
      </c>
      <c r="F22" s="6">
        <f>INDEX('11of st. k.'!B4:G29,MATCH(19,B4:B29,0),4)</f>
        <v>16</v>
      </c>
      <c r="G22" s="61">
        <f>INDEX('11of st. k.'!B4:G29,MATCH(19,B4:B29,0),5)</f>
        <v>132</v>
      </c>
      <c r="H22" s="6">
        <f>INDEX('11of st. k.'!B4:G29,MATCH(19,B4:B29,0),6)</f>
        <v>-39</v>
      </c>
    </row>
    <row r="23" spans="2:8" x14ac:dyDescent="0.2">
      <c r="B23" s="6">
        <f>RANK('11of st. k.'!C23,'11of st. k.'!$C$4:'11of st. k.'!$C$29,1)+COUNTIF('11of st. k.'!$C$4:'11of st. k.'!C23,'11of st. k.'!C23)-1</f>
        <v>21</v>
      </c>
      <c r="C23" s="5" t="str">
        <f>INDEX('11of st. k.'!B4:G29,MATCH(20,B4:B29,0),1)</f>
        <v>dębicki</v>
      </c>
      <c r="D23" s="6">
        <f>INDEX('11of st. k.'!B4:G29,MATCH(20,B4:B29,0),2)</f>
        <v>96</v>
      </c>
      <c r="E23" s="61">
        <f>INDEX('11of st. k.'!B4:G29,MATCH(20,B4:B29,0),3)</f>
        <v>133</v>
      </c>
      <c r="F23" s="6">
        <f>INDEX('11of st. k.'!B4:G29,MATCH(20,B4:B29,0),4)</f>
        <v>-37</v>
      </c>
      <c r="G23" s="61">
        <f>INDEX('11of st. k.'!B4:G29,MATCH(20,B4:B29,0),5)</f>
        <v>191</v>
      </c>
      <c r="H23" s="6">
        <f>INDEX('11of st. k.'!B4:G29,MATCH(20,B4:B29,0),6)</f>
        <v>-95</v>
      </c>
    </row>
    <row r="24" spans="2:8" x14ac:dyDescent="0.2">
      <c r="B24" s="6">
        <f>RANK('11of st. k.'!C24,'11of st. k.'!$C$4:'11of st. k.'!$C$29,1)+COUNTIF('11of st. k.'!$C$4:'11of st. k.'!C24,'11of st. k.'!C24)-1</f>
        <v>11</v>
      </c>
      <c r="C24" s="5" t="str">
        <f>INDEX('11of st. k.'!B4:G29,MATCH(21,B4:B29,0),1)</f>
        <v>strzyżowski</v>
      </c>
      <c r="D24" s="6">
        <f>INDEX('11of st. k.'!B4:G29,MATCH(21,B4:B29,0),2)</f>
        <v>126</v>
      </c>
      <c r="E24" s="61">
        <f>INDEX('11of st. k.'!B4:G29,MATCH(21,B4:B29,0),3)</f>
        <v>60</v>
      </c>
      <c r="F24" s="6">
        <f>INDEX('11of st. k.'!B4:G29,MATCH(21,B4:B29,0),4)</f>
        <v>66</v>
      </c>
      <c r="G24" s="61">
        <f>INDEX('11of st. k.'!B4:G29,MATCH(21,B4:B29,0),5)</f>
        <v>109</v>
      </c>
      <c r="H24" s="6">
        <f>INDEX('11of st. k.'!B4:G29,MATCH(21,B4:B29,0),6)</f>
        <v>17</v>
      </c>
    </row>
    <row r="25" spans="2:8" x14ac:dyDescent="0.2">
      <c r="B25" s="6">
        <f>RANK('11of st. k.'!C25,'11of st. k.'!$C$4:'11of st. k.'!$C$29,1)+COUNTIF('11of st. k.'!$C$4:'11of st. k.'!C25,'11of st. k.'!C25)-1</f>
        <v>6</v>
      </c>
      <c r="C25" s="5" t="str">
        <f>INDEX('11of st. k.'!B4:G29,MATCH(22,B4:B29,0),1)</f>
        <v>jasielski</v>
      </c>
      <c r="D25" s="6">
        <f>INDEX('11of st. k.'!B4:G29,MATCH(22,B4:B29,0),2)</f>
        <v>138</v>
      </c>
      <c r="E25" s="61">
        <f>INDEX('11of st. k.'!B4:G29,MATCH(22,B4:B29,0),3)</f>
        <v>136</v>
      </c>
      <c r="F25" s="6">
        <f>INDEX('11of st. k.'!B4:G29,MATCH(22,B4:B29,0),4)</f>
        <v>2</v>
      </c>
      <c r="G25" s="61">
        <f>INDEX('11of st. k.'!B4:G29,MATCH(22,B4:B29,0),5)</f>
        <v>159</v>
      </c>
      <c r="H25" s="6">
        <f>INDEX('11of st. k.'!B4:G29,MATCH(22,B4:B29,0),6)</f>
        <v>-21</v>
      </c>
    </row>
    <row r="26" spans="2:8" x14ac:dyDescent="0.2">
      <c r="B26" s="6">
        <f>RANK('11of st. k.'!C26,'11of st. k.'!$C$4:'11of st. k.'!$C$29,1)+COUNTIF('11of st. k.'!$C$4:'11of st. k.'!C26,'11of st. k.'!C26)-1</f>
        <v>5</v>
      </c>
      <c r="C26" s="5" t="str">
        <f>INDEX('11of st. k.'!B4:G29,MATCH(23,B4:B29,0),1)</f>
        <v>przeworski</v>
      </c>
      <c r="D26" s="6">
        <f>INDEX('11of st. k.'!B4:G29,MATCH(23,B4:B29,0),2)</f>
        <v>172</v>
      </c>
      <c r="E26" s="61">
        <f>INDEX('11of st. k.'!B4:G29,MATCH(23,B4:B29,0),3)</f>
        <v>183</v>
      </c>
      <c r="F26" s="6">
        <f>INDEX('11of st. k.'!B4:G29,MATCH(23,B4:B29,0),4)</f>
        <v>-11</v>
      </c>
      <c r="G26" s="61">
        <f>INDEX('11of st. k.'!B4:G29,MATCH(23,B4:B29,0),5)</f>
        <v>127</v>
      </c>
      <c r="H26" s="6">
        <f>INDEX('11of st. k.'!B4:G29,MATCH(23,B4:B29,0),6)</f>
        <v>45</v>
      </c>
    </row>
    <row r="27" spans="2:8" x14ac:dyDescent="0.2">
      <c r="B27" s="6">
        <f>RANK('11of st. k.'!C27,'11of st. k.'!$C$4:'11of st. k.'!$C$29,1)+COUNTIF('11of st. k.'!$C$4:'11of st. k.'!C27,'11of st. k.'!C27)-1</f>
        <v>24</v>
      </c>
      <c r="C27" s="5" t="str">
        <f>INDEX('11of st. k.'!B4:G29,MATCH(24,B4:B29,0),1)</f>
        <v>Rzeszów</v>
      </c>
      <c r="D27" s="6">
        <f>INDEX('11of st. k.'!B4:G29,MATCH(24,B4:B29,0),2)</f>
        <v>266</v>
      </c>
      <c r="E27" s="61">
        <f>INDEX('11of st. k.'!B4:G29,MATCH(24,B4:B29,0),3)</f>
        <v>322</v>
      </c>
      <c r="F27" s="6">
        <f>INDEX('11of st. k.'!B4:G29,MATCH(24,B4:B29,0),4)</f>
        <v>-56</v>
      </c>
      <c r="G27" s="61">
        <f>INDEX('11of st. k.'!B4:G29,MATCH(24,B4:B29,0),5)</f>
        <v>298</v>
      </c>
      <c r="H27" s="6">
        <f>INDEX('11of st. k.'!B4:G29,MATCH(24,B4:B29,0),6)</f>
        <v>-32</v>
      </c>
    </row>
    <row r="28" spans="2:8" x14ac:dyDescent="0.2">
      <c r="B28" s="6">
        <f>RANK('11of st. k.'!C28,'11of st. k.'!$C$4:'11of st. k.'!$C$29,1)+COUNTIF('11of st. k.'!$C$4:'11of st. k.'!C28,'11of st. k.'!C28)-1</f>
        <v>9</v>
      </c>
      <c r="C28" s="5" t="str">
        <f>INDEX('11of st. k.'!B4:G29,MATCH(25,B4:B29,0),1)</f>
        <v>mielecki</v>
      </c>
      <c r="D28" s="6">
        <f>INDEX('11of st. k.'!B4:G29,MATCH(25,B4:B29,0),2)</f>
        <v>314</v>
      </c>
      <c r="E28" s="61">
        <f>INDEX('11of st. k.'!B4:G29,MATCH(25,B4:B29,0),3)</f>
        <v>374</v>
      </c>
      <c r="F28" s="6">
        <f>INDEX('11of st. k.'!B4:G29,MATCH(25,B4:B29,0),4)</f>
        <v>-60</v>
      </c>
      <c r="G28" s="61">
        <f>INDEX('11of st. k.'!B4:G29,MATCH(25,B4:B29,0),5)</f>
        <v>228</v>
      </c>
      <c r="H28" s="6">
        <f>INDEX('11of st. k.'!B4:G29,MATCH(25,B4:B29,0),6)</f>
        <v>86</v>
      </c>
    </row>
    <row r="29" spans="2:8" ht="15" x14ac:dyDescent="0.25">
      <c r="B29" s="59">
        <f>RANK('11of st. k.'!C29,'11of st. k.'!$C$4:'11of st. k.'!$C$29,1)+COUNTIF('11of st. k.'!$C$4:'11of st. k.'!C29,'11of st. k.'!C29)-1</f>
        <v>26</v>
      </c>
      <c r="C29" s="58" t="str">
        <f>INDEX('11of st. k.'!B4:G29,MATCH(26,B4:B29,0),1)</f>
        <v>województwo</v>
      </c>
      <c r="D29" s="59">
        <f>INDEX('11of st. k.'!B4:G29,MATCH(26,B4:B29,0),2)</f>
        <v>2108</v>
      </c>
      <c r="E29" s="63">
        <f>INDEX('11of st. k.'!B4:G29,MATCH(26,B4:B29,0),3)</f>
        <v>2223</v>
      </c>
      <c r="F29" s="59">
        <f>INDEX('11of st. k.'!B4:G29,MATCH(26,B4:B29,0),4)</f>
        <v>-115</v>
      </c>
      <c r="G29" s="63">
        <f>INDEX('11of st. k.'!B4:G29,MATCH(26,B4:B29,0),5)</f>
        <v>2256</v>
      </c>
      <c r="H29" s="59">
        <f>INDEX('11of st. k.'!B4:G29,MATCH(26,B4:B29,0),6)</f>
        <v>-148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Normal="100" workbookViewId="0">
      <selection activeCell="C1" sqref="C1"/>
    </sheetView>
  </sheetViews>
  <sheetFormatPr defaultRowHeight="11.25" x14ac:dyDescent="0.2"/>
  <cols>
    <col min="1" max="1" width="2" style="82" customWidth="1"/>
    <col min="2" max="2" width="3.5703125" style="82" customWidth="1"/>
    <col min="3" max="3" width="17.85546875" style="82" customWidth="1"/>
    <col min="4" max="4" width="8.85546875" style="82" customWidth="1"/>
    <col min="5" max="5" width="8.28515625" style="82" customWidth="1"/>
    <col min="6" max="6" width="7.140625" style="82" customWidth="1"/>
    <col min="7" max="7" width="2.28515625" style="82" customWidth="1"/>
    <col min="8" max="8" width="8.7109375" style="82" customWidth="1"/>
    <col min="9" max="9" width="8.5703125" style="82" customWidth="1"/>
    <col min="10" max="10" width="7.140625" style="82" customWidth="1"/>
    <col min="11" max="11" width="2.42578125" style="82" customWidth="1"/>
    <col min="12" max="12" width="7.140625" style="82" customWidth="1"/>
    <col min="13" max="14" width="7.42578125" style="82" customWidth="1"/>
    <col min="15" max="15" width="2.28515625" style="82" customWidth="1"/>
    <col min="16" max="16" width="5.85546875" style="82" customWidth="1"/>
    <col min="17" max="17" width="2" style="82" customWidth="1"/>
    <col min="18" max="18" width="7" style="82" customWidth="1"/>
    <col min="19" max="19" width="7.7109375" style="82" customWidth="1"/>
    <col min="20" max="20" width="12.28515625" style="82" customWidth="1"/>
    <col min="21" max="21" width="2.140625" style="82" customWidth="1"/>
    <col min="22" max="22" width="6.42578125" style="82" customWidth="1"/>
    <col min="23" max="23" width="8" style="82" customWidth="1"/>
    <col min="24" max="24" width="11.5703125" style="82" customWidth="1"/>
    <col min="25" max="25" width="1.85546875" style="82" customWidth="1"/>
    <col min="26" max="26" width="6" style="105" customWidth="1"/>
    <col min="27" max="27" width="18.7109375" style="82" customWidth="1"/>
    <col min="28" max="28" width="6" style="82" customWidth="1"/>
    <col min="29" max="29" width="2.42578125" style="82" customWidth="1"/>
    <col min="30" max="30" width="6" style="82" customWidth="1"/>
    <col min="31" max="31" width="18.85546875" style="82" customWidth="1"/>
    <col min="32" max="32" width="5.28515625" style="82" customWidth="1"/>
    <col min="33" max="33" width="1.5703125" style="82" customWidth="1"/>
    <col min="34" max="34" width="4.140625" style="82" customWidth="1"/>
    <col min="35" max="35" width="4.42578125" style="82" customWidth="1"/>
    <col min="36" max="16384" width="9.140625" style="82"/>
  </cols>
  <sheetData>
    <row r="1" spans="2:35" ht="11.25" customHeight="1" x14ac:dyDescent="0.2">
      <c r="C1" s="138" t="s">
        <v>108</v>
      </c>
      <c r="D1" s="136"/>
      <c r="E1" s="136"/>
      <c r="F1" s="136"/>
      <c r="G1" s="52"/>
      <c r="H1" s="52"/>
      <c r="I1" s="52"/>
      <c r="J1" s="52"/>
      <c r="K1" s="52"/>
      <c r="L1" s="52"/>
      <c r="M1" s="52"/>
      <c r="N1" s="52"/>
      <c r="O1" s="52"/>
      <c r="Q1" s="81"/>
      <c r="S1" s="52"/>
      <c r="U1" s="81"/>
      <c r="X1" s="52"/>
      <c r="Y1" s="81"/>
    </row>
    <row r="2" spans="2:35" ht="13.5" customHeight="1" thickBot="1" x14ac:dyDescent="0.25">
      <c r="C2" s="137" t="s">
        <v>104</v>
      </c>
      <c r="D2" s="133"/>
      <c r="E2" s="133"/>
      <c r="F2" s="133"/>
      <c r="G2" s="134"/>
      <c r="H2" s="137" t="s">
        <v>105</v>
      </c>
      <c r="I2" s="134"/>
      <c r="J2" s="134"/>
      <c r="K2" s="134"/>
      <c r="L2" s="137" t="s">
        <v>106</v>
      </c>
      <c r="M2" s="134"/>
      <c r="N2" s="134"/>
      <c r="O2" s="134"/>
      <c r="P2" s="81"/>
      <c r="Q2" s="116"/>
      <c r="R2" s="149" t="s">
        <v>117</v>
      </c>
      <c r="S2" s="134"/>
      <c r="T2" s="81"/>
      <c r="U2" s="116"/>
      <c r="V2" s="81"/>
      <c r="W2" s="81"/>
      <c r="X2" s="134"/>
      <c r="Y2" s="116"/>
      <c r="Z2" s="135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2:35" ht="45.75" thickBot="1" x14ac:dyDescent="0.25">
      <c r="B3" s="272"/>
      <c r="C3" s="132" t="s">
        <v>27</v>
      </c>
      <c r="D3" s="139" t="s">
        <v>162</v>
      </c>
      <c r="E3" s="141" t="s">
        <v>163</v>
      </c>
      <c r="F3" s="273" t="s">
        <v>110</v>
      </c>
      <c r="G3" s="110"/>
      <c r="H3" s="140" t="s">
        <v>164</v>
      </c>
      <c r="I3" s="141" t="s">
        <v>165</v>
      </c>
      <c r="J3" s="273" t="s">
        <v>111</v>
      </c>
      <c r="K3" s="110"/>
      <c r="L3" s="140" t="s">
        <v>166</v>
      </c>
      <c r="M3" s="141" t="s">
        <v>167</v>
      </c>
      <c r="N3" s="273" t="s">
        <v>110</v>
      </c>
      <c r="O3" s="110"/>
      <c r="P3" s="253" t="s">
        <v>107</v>
      </c>
      <c r="Q3" s="114"/>
      <c r="R3" s="262" t="s">
        <v>99</v>
      </c>
      <c r="S3" s="141" t="s">
        <v>168</v>
      </c>
      <c r="T3" s="267" t="s">
        <v>109</v>
      </c>
      <c r="U3" s="84"/>
      <c r="V3" s="262" t="s">
        <v>137</v>
      </c>
      <c r="W3" s="152" t="s">
        <v>169</v>
      </c>
      <c r="X3" s="268" t="s">
        <v>116</v>
      </c>
      <c r="Z3" s="269" t="s">
        <v>100</v>
      </c>
      <c r="AA3" s="270" t="s">
        <v>97</v>
      </c>
      <c r="AB3" s="271" t="s">
        <v>97</v>
      </c>
      <c r="AC3" s="157"/>
      <c r="AD3" s="269" t="s">
        <v>101</v>
      </c>
      <c r="AE3" s="270" t="s">
        <v>98</v>
      </c>
      <c r="AF3" s="271" t="s">
        <v>98</v>
      </c>
      <c r="AG3" s="114"/>
      <c r="AH3" s="162"/>
      <c r="AI3" s="163"/>
    </row>
    <row r="4" spans="2:35" x14ac:dyDescent="0.2">
      <c r="B4" s="272">
        <v>1</v>
      </c>
      <c r="C4" s="118" t="s">
        <v>0</v>
      </c>
      <c r="D4" s="256">
        <v>95</v>
      </c>
      <c r="E4" s="92">
        <v>87</v>
      </c>
      <c r="F4" s="142">
        <f t="shared" ref="F4:F28" si="0">E4-D4</f>
        <v>-8</v>
      </c>
      <c r="G4" s="108"/>
      <c r="H4" s="83">
        <v>35</v>
      </c>
      <c r="I4" s="85">
        <v>29</v>
      </c>
      <c r="J4" s="101">
        <f t="shared" ref="J4:J28" si="1">I4-H4</f>
        <v>-6</v>
      </c>
      <c r="K4" s="111"/>
      <c r="L4" s="83">
        <v>21</v>
      </c>
      <c r="M4" s="85">
        <v>51</v>
      </c>
      <c r="N4" s="101">
        <f t="shared" ref="N4:N28" si="2">M4-L4</f>
        <v>30</v>
      </c>
      <c r="O4" s="111"/>
      <c r="P4" s="95">
        <f>F4+J4+N4</f>
        <v>16</v>
      </c>
      <c r="Q4" s="115"/>
      <c r="R4" s="263">
        <v>1112</v>
      </c>
      <c r="S4" s="85">
        <v>1168</v>
      </c>
      <c r="T4" s="97">
        <f>SUM(S4-R4)</f>
        <v>56</v>
      </c>
      <c r="U4" s="86"/>
      <c r="V4" s="263">
        <v>1085</v>
      </c>
      <c r="W4" s="147">
        <v>1085</v>
      </c>
      <c r="X4" s="147">
        <f>SUM(W4-V4)</f>
        <v>0</v>
      </c>
      <c r="Z4" s="95">
        <f>RANK(P4,$P$4:$P$28,1)+COUNTIF($P$4:P4,P4)-1</f>
        <v>16</v>
      </c>
      <c r="AA4" s="98" t="str">
        <f>INDEX(C4:P28,MATCH(1,Z4:Z28,0),1)</f>
        <v>leżajski</v>
      </c>
      <c r="AB4" s="85">
        <f>INDEX(C4:P28,MATCH(1,Z4:Z28,0),14)</f>
        <v>-148</v>
      </c>
      <c r="AC4" s="158"/>
      <c r="AD4" s="95">
        <f>RANK(T4,$T$4:$T$28,1)+COUNTIF($T$4:T4,T4)-1</f>
        <v>2</v>
      </c>
      <c r="AE4" s="98" t="str">
        <f>INDEX(C4:T28,MATCH(1,AD4:AD28,0),1)</f>
        <v>przeworski</v>
      </c>
      <c r="AF4" s="85">
        <f>INDEX(C4:T28,MATCH(1,AD4:AD28,0),18)</f>
        <v>-58</v>
      </c>
      <c r="AG4" s="116"/>
      <c r="AH4" s="162">
        <v>1</v>
      </c>
      <c r="AI4" s="164">
        <f>SUM(Z4)-AD4</f>
        <v>14</v>
      </c>
    </row>
    <row r="5" spans="2:35" x14ac:dyDescent="0.2">
      <c r="B5" s="272">
        <v>2</v>
      </c>
      <c r="C5" s="119" t="s">
        <v>1</v>
      </c>
      <c r="D5" s="257">
        <v>274</v>
      </c>
      <c r="E5" s="93">
        <v>250</v>
      </c>
      <c r="F5" s="143">
        <f t="shared" si="0"/>
        <v>-24</v>
      </c>
      <c r="G5" s="108"/>
      <c r="H5" s="88">
        <v>30</v>
      </c>
      <c r="I5" s="87">
        <v>46</v>
      </c>
      <c r="J5" s="102">
        <f t="shared" si="1"/>
        <v>16</v>
      </c>
      <c r="K5" s="111"/>
      <c r="L5" s="88">
        <v>21</v>
      </c>
      <c r="M5" s="87">
        <v>36</v>
      </c>
      <c r="N5" s="102">
        <f t="shared" si="2"/>
        <v>15</v>
      </c>
      <c r="O5" s="111"/>
      <c r="P5" s="260">
        <f>F5+J5+N5</f>
        <v>7</v>
      </c>
      <c r="Q5" s="115"/>
      <c r="R5" s="264">
        <v>4038</v>
      </c>
      <c r="S5" s="87">
        <v>4127</v>
      </c>
      <c r="T5" s="106">
        <f t="shared" ref="T5:T28" si="3">SUM(S5-R5)</f>
        <v>89</v>
      </c>
      <c r="U5" s="86"/>
      <c r="V5" s="264">
        <v>3848</v>
      </c>
      <c r="W5" s="148">
        <v>3957</v>
      </c>
      <c r="X5" s="148">
        <f t="shared" ref="X5:X28" si="4">SUM(W5-V5)</f>
        <v>109</v>
      </c>
      <c r="Z5" s="96">
        <f>RANK(P5,$P$4:$P$28,1)+COUNTIF($P$4:P5,P5)-1</f>
        <v>14</v>
      </c>
      <c r="AA5" s="99" t="str">
        <f>INDEX(C4:P28,MATCH(2,Z4:Z28,0),1)</f>
        <v>jarosławski</v>
      </c>
      <c r="AB5" s="87">
        <f>INDEX(C4:P28,MATCH(2,Z4:Z28,0),14)</f>
        <v>-115</v>
      </c>
      <c r="AC5" s="158"/>
      <c r="AD5" s="96">
        <f>RANK(T5,$T$4:$T$28,1)+COUNTIF($T$4:T5,T5)-1</f>
        <v>10</v>
      </c>
      <c r="AE5" s="99" t="str">
        <f>INDEX(C4:T28,MATCH(2,AD4:AD28,0),1)</f>
        <v>bieszczadzki</v>
      </c>
      <c r="AF5" s="87">
        <f>INDEX(C4:T28,MATCH(2,AD4:AD28,0),18)</f>
        <v>56</v>
      </c>
      <c r="AG5" s="116"/>
      <c r="AH5" s="162">
        <v>2</v>
      </c>
      <c r="AI5" s="164">
        <f t="shared" ref="AI5:AI28" si="5">SUM(Z5)-AD5</f>
        <v>4</v>
      </c>
    </row>
    <row r="6" spans="2:35" x14ac:dyDescent="0.2">
      <c r="B6" s="272">
        <v>3</v>
      </c>
      <c r="C6" s="119" t="s">
        <v>2</v>
      </c>
      <c r="D6" s="257">
        <v>302</v>
      </c>
      <c r="E6" s="93">
        <v>341</v>
      </c>
      <c r="F6" s="143">
        <f t="shared" si="0"/>
        <v>39</v>
      </c>
      <c r="G6" s="108"/>
      <c r="H6" s="88">
        <v>47</v>
      </c>
      <c r="I6" s="87">
        <v>18</v>
      </c>
      <c r="J6" s="102">
        <f t="shared" si="1"/>
        <v>-29</v>
      </c>
      <c r="K6" s="111"/>
      <c r="L6" s="88">
        <v>30</v>
      </c>
      <c r="M6" s="87">
        <v>19</v>
      </c>
      <c r="N6" s="102">
        <f t="shared" si="2"/>
        <v>-11</v>
      </c>
      <c r="O6" s="111"/>
      <c r="P6" s="96">
        <f>F6+J6+N6</f>
        <v>-1</v>
      </c>
      <c r="Q6" s="115"/>
      <c r="R6" s="264">
        <v>2435</v>
      </c>
      <c r="S6" s="87">
        <v>2632</v>
      </c>
      <c r="T6" s="87">
        <f t="shared" si="3"/>
        <v>197</v>
      </c>
      <c r="U6" s="81"/>
      <c r="V6" s="264">
        <v>2433</v>
      </c>
      <c r="W6" s="148">
        <v>2617</v>
      </c>
      <c r="X6" s="102">
        <f t="shared" si="4"/>
        <v>184</v>
      </c>
      <c r="Z6" s="96">
        <f>RANK(P6,$P$4:$P$28,1)+COUNTIF($P$4:P6,P6)-1</f>
        <v>10</v>
      </c>
      <c r="AA6" s="99" t="str">
        <f>INDEX(C4:P28,MATCH(3,Z4:Z28,0),1)</f>
        <v>kolbuszowski</v>
      </c>
      <c r="AB6" s="87">
        <f>INDEX(C4:P28,MATCH(3,Z4:Z28,0),14)</f>
        <v>-44</v>
      </c>
      <c r="AC6" s="158"/>
      <c r="AD6" s="96">
        <f>RANK(T6,$T$4:$T$28,1)+COUNTIF($T$4:T6,T6)-1</f>
        <v>22</v>
      </c>
      <c r="AE6" s="99" t="str">
        <f>INDEX(C4:T28,MATCH(3,AD4:AD28,0),1)</f>
        <v>Rzeszów</v>
      </c>
      <c r="AF6" s="87">
        <f>INDEX(C4:T28,MATCH(3,AD4:AD28,0),18)</f>
        <v>56</v>
      </c>
      <c r="AG6" s="116"/>
      <c r="AH6" s="162">
        <v>3</v>
      </c>
      <c r="AI6" s="164">
        <f t="shared" si="5"/>
        <v>-12</v>
      </c>
    </row>
    <row r="7" spans="2:35" x14ac:dyDescent="0.2">
      <c r="B7" s="272">
        <v>4</v>
      </c>
      <c r="C7" s="119" t="s">
        <v>3</v>
      </c>
      <c r="D7" s="257">
        <v>489</v>
      </c>
      <c r="E7" s="93">
        <v>390</v>
      </c>
      <c r="F7" s="143">
        <f t="shared" si="0"/>
        <v>-99</v>
      </c>
      <c r="G7" s="108"/>
      <c r="H7" s="88">
        <v>145</v>
      </c>
      <c r="I7" s="87">
        <v>112</v>
      </c>
      <c r="J7" s="102">
        <f t="shared" si="1"/>
        <v>-33</v>
      </c>
      <c r="K7" s="111"/>
      <c r="L7" s="88">
        <v>17</v>
      </c>
      <c r="M7" s="87">
        <v>34</v>
      </c>
      <c r="N7" s="102">
        <f t="shared" si="2"/>
        <v>17</v>
      </c>
      <c r="O7" s="111"/>
      <c r="P7" s="260">
        <f t="shared" ref="P7:P28" si="6">F7+J7+N7</f>
        <v>-115</v>
      </c>
      <c r="Q7" s="115"/>
      <c r="R7" s="264">
        <v>4674</v>
      </c>
      <c r="S7" s="87">
        <v>4843</v>
      </c>
      <c r="T7" s="87">
        <f t="shared" si="3"/>
        <v>169</v>
      </c>
      <c r="U7" s="81"/>
      <c r="V7" s="264">
        <v>4299</v>
      </c>
      <c r="W7" s="148">
        <v>4569</v>
      </c>
      <c r="X7" s="102">
        <f t="shared" si="4"/>
        <v>270</v>
      </c>
      <c r="Z7" s="96">
        <f>RANK(P7,$P$4:$P$28,1)+COUNTIF($P$4:P7,P7)-1</f>
        <v>2</v>
      </c>
      <c r="AA7" s="99" t="str">
        <f>INDEX(C4:P28,MATCH(4,Z4:Z28,0),1)</f>
        <v>ropczycko-sędziszowski</v>
      </c>
      <c r="AB7" s="87">
        <f>INDEX(C4:P28,MATCH(4,Z4:Z28,0),14)</f>
        <v>-39</v>
      </c>
      <c r="AC7" s="158"/>
      <c r="AD7" s="96">
        <f>RANK(T7,$T$4:$T$28,1)+COUNTIF($T$4:T7,T7)-1</f>
        <v>19</v>
      </c>
      <c r="AE7" s="99" t="str">
        <f>INDEX(C4:T28,MATCH(4,AD4:AD28,0),1)</f>
        <v>przemyski</v>
      </c>
      <c r="AF7" s="87">
        <f>INDEX(C4:T28,MATCH(4,AD4:AD28,0),18)</f>
        <v>65</v>
      </c>
      <c r="AG7" s="116"/>
      <c r="AH7" s="162">
        <v>4</v>
      </c>
      <c r="AI7" s="164">
        <f t="shared" si="5"/>
        <v>-17</v>
      </c>
    </row>
    <row r="8" spans="2:35" x14ac:dyDescent="0.2">
      <c r="B8" s="272">
        <v>5</v>
      </c>
      <c r="C8" s="119" t="s">
        <v>4</v>
      </c>
      <c r="D8" s="257">
        <v>352</v>
      </c>
      <c r="E8" s="93">
        <v>358</v>
      </c>
      <c r="F8" s="143">
        <f t="shared" si="0"/>
        <v>6</v>
      </c>
      <c r="G8" s="108"/>
      <c r="H8" s="88">
        <v>92</v>
      </c>
      <c r="I8" s="87">
        <v>82</v>
      </c>
      <c r="J8" s="102">
        <f t="shared" si="1"/>
        <v>-10</v>
      </c>
      <c r="K8" s="111"/>
      <c r="L8" s="88">
        <v>48</v>
      </c>
      <c r="M8" s="87">
        <v>74</v>
      </c>
      <c r="N8" s="102">
        <f t="shared" si="2"/>
        <v>26</v>
      </c>
      <c r="O8" s="111"/>
      <c r="P8" s="260">
        <f t="shared" si="6"/>
        <v>22</v>
      </c>
      <c r="Q8" s="115"/>
      <c r="R8" s="264">
        <v>4926</v>
      </c>
      <c r="S8" s="87">
        <v>5156</v>
      </c>
      <c r="T8" s="87">
        <f t="shared" si="3"/>
        <v>230</v>
      </c>
      <c r="U8" s="81"/>
      <c r="V8" s="264">
        <v>5107</v>
      </c>
      <c r="W8" s="148">
        <v>5253</v>
      </c>
      <c r="X8" s="102">
        <f t="shared" si="4"/>
        <v>146</v>
      </c>
      <c r="Z8" s="96">
        <f>RANK(P8,$P$4:$P$28,1)+COUNTIF($P$4:P8,P8)-1</f>
        <v>18</v>
      </c>
      <c r="AA8" s="99" t="str">
        <f>INDEX(C4:P28,MATCH(5,Z4:Z28,0),1)</f>
        <v>leski</v>
      </c>
      <c r="AB8" s="87">
        <f>INDEX(C4:P28,MATCH(5,Z4:Z28,0),14)</f>
        <v>-33</v>
      </c>
      <c r="AC8" s="158"/>
      <c r="AD8" s="96">
        <f>RANK(T8,$T$4:$T$28,1)+COUNTIF($T$4:T8,T8)-1</f>
        <v>24</v>
      </c>
      <c r="AE8" s="99" t="str">
        <f>INDEX(C4:T28,MATCH(5,AD4:AD28,0),1)</f>
        <v>leski</v>
      </c>
      <c r="AF8" s="87">
        <f>INDEX(C4:T28,MATCH(5,AD4:AD28,0),18)</f>
        <v>66</v>
      </c>
      <c r="AG8" s="116"/>
      <c r="AH8" s="162">
        <v>5</v>
      </c>
      <c r="AI8" s="163">
        <f t="shared" si="5"/>
        <v>-6</v>
      </c>
    </row>
    <row r="9" spans="2:35" x14ac:dyDescent="0.2">
      <c r="B9" s="272">
        <v>6</v>
      </c>
      <c r="C9" s="119" t="s">
        <v>5</v>
      </c>
      <c r="D9" s="257">
        <v>219</v>
      </c>
      <c r="E9" s="93">
        <v>195</v>
      </c>
      <c r="F9" s="143">
        <f t="shared" si="0"/>
        <v>-24</v>
      </c>
      <c r="G9" s="108"/>
      <c r="H9" s="88">
        <v>25</v>
      </c>
      <c r="I9" s="87">
        <v>12</v>
      </c>
      <c r="J9" s="102">
        <f t="shared" si="1"/>
        <v>-13</v>
      </c>
      <c r="K9" s="111"/>
      <c r="L9" s="88">
        <v>15</v>
      </c>
      <c r="M9" s="87">
        <v>8</v>
      </c>
      <c r="N9" s="102">
        <f t="shared" si="2"/>
        <v>-7</v>
      </c>
      <c r="O9" s="111"/>
      <c r="P9" s="260">
        <f t="shared" si="6"/>
        <v>-44</v>
      </c>
      <c r="Q9" s="115"/>
      <c r="R9" s="264">
        <v>1577</v>
      </c>
      <c r="S9" s="87">
        <v>1710</v>
      </c>
      <c r="T9" s="87">
        <f t="shared" si="3"/>
        <v>133</v>
      </c>
      <c r="U9" s="81"/>
      <c r="V9" s="264">
        <v>1494</v>
      </c>
      <c r="W9" s="148">
        <v>1620</v>
      </c>
      <c r="X9" s="102">
        <f t="shared" si="4"/>
        <v>126</v>
      </c>
      <c r="Z9" s="96">
        <f>RANK(P9,$P$4:$P$28,1)+COUNTIF($P$4:P9,P9)-1</f>
        <v>3</v>
      </c>
      <c r="AA9" s="99" t="str">
        <f>INDEX(C4:P28,MATCH(6,Z4:Z28,0),1)</f>
        <v>stalowowolski</v>
      </c>
      <c r="AB9" s="87">
        <f>INDEX(C4:P28,MATCH(6,Z4:Z28,0),14)</f>
        <v>-24</v>
      </c>
      <c r="AC9" s="158"/>
      <c r="AD9" s="96">
        <f>RANK(T9,$T$4:$T$28,1)+COUNTIF($T$4:T9,T9)-1</f>
        <v>16</v>
      </c>
      <c r="AE9" s="99" t="str">
        <f>INDEX(C4:T28,MATCH(6,AD4:AD28,0),1)</f>
        <v>ropczycko-sędziszowski</v>
      </c>
      <c r="AF9" s="87">
        <f>INDEX(C4:T28,MATCH(6,AD4:AD28,0),18)</f>
        <v>67</v>
      </c>
      <c r="AG9" s="116"/>
      <c r="AH9" s="162">
        <v>6</v>
      </c>
      <c r="AI9" s="163">
        <f t="shared" si="5"/>
        <v>-13</v>
      </c>
    </row>
    <row r="10" spans="2:35" x14ac:dyDescent="0.2">
      <c r="B10" s="272">
        <v>7</v>
      </c>
      <c r="C10" s="119" t="s">
        <v>6</v>
      </c>
      <c r="D10" s="257">
        <v>221</v>
      </c>
      <c r="E10" s="93">
        <v>230</v>
      </c>
      <c r="F10" s="143">
        <f t="shared" si="0"/>
        <v>9</v>
      </c>
      <c r="G10" s="108"/>
      <c r="H10" s="88">
        <v>30</v>
      </c>
      <c r="I10" s="87">
        <v>31</v>
      </c>
      <c r="J10" s="102">
        <f t="shared" si="1"/>
        <v>1</v>
      </c>
      <c r="K10" s="111"/>
      <c r="L10" s="88">
        <v>25</v>
      </c>
      <c r="M10" s="87">
        <v>20</v>
      </c>
      <c r="N10" s="102">
        <f t="shared" si="2"/>
        <v>-5</v>
      </c>
      <c r="O10" s="111"/>
      <c r="P10" s="260">
        <f>F10+J10+N10</f>
        <v>5</v>
      </c>
      <c r="Q10" s="115"/>
      <c r="R10" s="264">
        <v>2018</v>
      </c>
      <c r="S10" s="87">
        <v>2228</v>
      </c>
      <c r="T10" s="106">
        <f t="shared" si="3"/>
        <v>210</v>
      </c>
      <c r="U10" s="81"/>
      <c r="V10" s="264">
        <v>2221</v>
      </c>
      <c r="W10" s="148">
        <v>2504</v>
      </c>
      <c r="X10" s="102">
        <f t="shared" si="4"/>
        <v>283</v>
      </c>
      <c r="Z10" s="96">
        <f>RANK(P10,$P$4:$P$28,1)+COUNTIF($P$4:P10,P10)-1</f>
        <v>12</v>
      </c>
      <c r="AA10" s="99" t="str">
        <f>INDEX(C4:P28,MATCH(7,Z4:Z28,0),1)</f>
        <v>Rzeszów</v>
      </c>
      <c r="AB10" s="87">
        <f>INDEX(C4:P28,MATCH(7,Z4:Z28,0),14)</f>
        <v>-22</v>
      </c>
      <c r="AC10" s="158"/>
      <c r="AD10" s="96">
        <f>RANK(T10,$T$4:$T$28,1)+COUNTIF($T$4:T10,T10)-1</f>
        <v>23</v>
      </c>
      <c r="AE10" s="99" t="str">
        <f>INDEX(C4:T28,MATCH(7,AD4:AD28,0),1)</f>
        <v>Przemyśl</v>
      </c>
      <c r="AF10" s="87">
        <f>INDEX(C4:T28,MATCH(7,AD4:AD28,0),18)</f>
        <v>69</v>
      </c>
      <c r="AG10" s="116"/>
      <c r="AH10" s="162">
        <v>7</v>
      </c>
      <c r="AI10" s="163">
        <f t="shared" si="5"/>
        <v>-11</v>
      </c>
    </row>
    <row r="11" spans="2:35" x14ac:dyDescent="0.2">
      <c r="B11" s="272">
        <v>8</v>
      </c>
      <c r="C11" s="119" t="s">
        <v>7</v>
      </c>
      <c r="D11" s="257">
        <v>121</v>
      </c>
      <c r="E11" s="93">
        <v>122</v>
      </c>
      <c r="F11" s="143">
        <f t="shared" si="0"/>
        <v>1</v>
      </c>
      <c r="G11" s="108"/>
      <c r="H11" s="88">
        <v>31</v>
      </c>
      <c r="I11" s="87">
        <v>6</v>
      </c>
      <c r="J11" s="102">
        <f t="shared" si="1"/>
        <v>-25</v>
      </c>
      <c r="K11" s="111"/>
      <c r="L11" s="88">
        <v>10</v>
      </c>
      <c r="M11" s="87">
        <v>1</v>
      </c>
      <c r="N11" s="102">
        <f t="shared" si="2"/>
        <v>-9</v>
      </c>
      <c r="O11" s="111"/>
      <c r="P11" s="260">
        <f t="shared" si="6"/>
        <v>-33</v>
      </c>
      <c r="Q11" s="115"/>
      <c r="R11" s="264">
        <v>1747</v>
      </c>
      <c r="S11" s="87">
        <v>1813</v>
      </c>
      <c r="T11" s="87">
        <f t="shared" si="3"/>
        <v>66</v>
      </c>
      <c r="U11" s="81"/>
      <c r="V11" s="264">
        <v>1716</v>
      </c>
      <c r="W11" s="148">
        <v>1788</v>
      </c>
      <c r="X11" s="102">
        <f t="shared" si="4"/>
        <v>72</v>
      </c>
      <c r="Z11" s="96">
        <f>RANK(P11,$P$4:$P$28,1)+COUNTIF($P$4:P11,P11)-1</f>
        <v>5</v>
      </c>
      <c r="AA11" s="99" t="str">
        <f>INDEX(C4:P28,MATCH(8,Z4:Z28,0),1)</f>
        <v>tarnobrzeski</v>
      </c>
      <c r="AB11" s="87">
        <f>INDEX(C4:P28,MATCH(8,Z4:Z28,0),14)</f>
        <v>-16</v>
      </c>
      <c r="AC11" s="158"/>
      <c r="AD11" s="96">
        <f>RANK(T11,$T$4:$T$28,1)+COUNTIF($T$4:T11,T11)-1</f>
        <v>5</v>
      </c>
      <c r="AE11" s="99" t="str">
        <f>INDEX(C4:T28,MATCH(8,AD4:AD28,0),1)</f>
        <v>Krosno</v>
      </c>
      <c r="AF11" s="87">
        <f>INDEX(C4:T28,MATCH(8,AD4:AD28,0),18)</f>
        <v>82</v>
      </c>
      <c r="AG11" s="116"/>
      <c r="AH11" s="162">
        <v>8</v>
      </c>
      <c r="AI11" s="163">
        <f t="shared" si="5"/>
        <v>0</v>
      </c>
    </row>
    <row r="12" spans="2:35" x14ac:dyDescent="0.2">
      <c r="B12" s="272">
        <v>9</v>
      </c>
      <c r="C12" s="119" t="s">
        <v>8</v>
      </c>
      <c r="D12" s="257">
        <v>373</v>
      </c>
      <c r="E12" s="93">
        <v>219</v>
      </c>
      <c r="F12" s="143">
        <f t="shared" si="0"/>
        <v>-154</v>
      </c>
      <c r="G12" s="108"/>
      <c r="H12" s="88">
        <v>66</v>
      </c>
      <c r="I12" s="87">
        <v>30</v>
      </c>
      <c r="J12" s="102">
        <f t="shared" si="1"/>
        <v>-36</v>
      </c>
      <c r="K12" s="111"/>
      <c r="L12" s="88">
        <v>41</v>
      </c>
      <c r="M12" s="87">
        <v>83</v>
      </c>
      <c r="N12" s="102">
        <f t="shared" si="2"/>
        <v>42</v>
      </c>
      <c r="O12" s="111"/>
      <c r="P12" s="260">
        <f t="shared" si="6"/>
        <v>-148</v>
      </c>
      <c r="Q12" s="115"/>
      <c r="R12" s="264">
        <v>3198</v>
      </c>
      <c r="S12" s="87">
        <v>3283</v>
      </c>
      <c r="T12" s="87">
        <f t="shared" si="3"/>
        <v>85</v>
      </c>
      <c r="U12" s="81"/>
      <c r="V12" s="264">
        <v>3105</v>
      </c>
      <c r="W12" s="148">
        <v>3279</v>
      </c>
      <c r="X12" s="102">
        <f t="shared" si="4"/>
        <v>174</v>
      </c>
      <c r="Z12" s="96">
        <f>RANK(P12,$P$4:$P$28,1)+COUNTIF($P$4:P12,P12)-1</f>
        <v>1</v>
      </c>
      <c r="AA12" s="99" t="str">
        <f>INDEX(C4:P28,MATCH(9,Z4:Z28,0),1)</f>
        <v>lubaczowski</v>
      </c>
      <c r="AB12" s="87">
        <f>INDEX(C4:P28,MATCH(9,Z4:Z28,0),14)</f>
        <v>-6</v>
      </c>
      <c r="AC12" s="158"/>
      <c r="AD12" s="96">
        <f>RANK(T12,$T$4:$T$28,1)+COUNTIF($T$4:T12,T12)-1</f>
        <v>9</v>
      </c>
      <c r="AE12" s="99" t="str">
        <f>INDEX(C4:T28,MATCH(9,AD4:AD28,0),1)</f>
        <v>leżajski</v>
      </c>
      <c r="AF12" s="87">
        <f>INDEX(C4:T28,MATCH(9,AD4:AD28,0),18)</f>
        <v>85</v>
      </c>
      <c r="AG12" s="116"/>
      <c r="AH12" s="162">
        <v>9</v>
      </c>
      <c r="AI12" s="163">
        <f t="shared" si="5"/>
        <v>-8</v>
      </c>
    </row>
    <row r="13" spans="2:35" x14ac:dyDescent="0.2">
      <c r="B13" s="272">
        <v>10</v>
      </c>
      <c r="C13" s="119" t="s">
        <v>9</v>
      </c>
      <c r="D13" s="257">
        <v>182</v>
      </c>
      <c r="E13" s="93">
        <v>199</v>
      </c>
      <c r="F13" s="143">
        <f t="shared" si="0"/>
        <v>17</v>
      </c>
      <c r="G13" s="108"/>
      <c r="H13" s="88">
        <v>31</v>
      </c>
      <c r="I13" s="87">
        <v>31</v>
      </c>
      <c r="J13" s="102">
        <f t="shared" si="1"/>
        <v>0</v>
      </c>
      <c r="K13" s="111"/>
      <c r="L13" s="88">
        <v>34</v>
      </c>
      <c r="M13" s="87">
        <v>11</v>
      </c>
      <c r="N13" s="102">
        <f t="shared" si="2"/>
        <v>-23</v>
      </c>
      <c r="O13" s="111"/>
      <c r="P13" s="260">
        <f t="shared" si="6"/>
        <v>-6</v>
      </c>
      <c r="Q13" s="115"/>
      <c r="R13" s="264">
        <v>1831</v>
      </c>
      <c r="S13" s="87">
        <v>1954</v>
      </c>
      <c r="T13" s="87">
        <f t="shared" si="3"/>
        <v>123</v>
      </c>
      <c r="U13" s="81"/>
      <c r="V13" s="264">
        <v>1867</v>
      </c>
      <c r="W13" s="148">
        <v>1903</v>
      </c>
      <c r="X13" s="102">
        <f t="shared" si="4"/>
        <v>36</v>
      </c>
      <c r="Z13" s="96">
        <f>RANK(P13,$P$4:$P$28,1)+COUNTIF($P$4:P13,P13)-1</f>
        <v>9</v>
      </c>
      <c r="AA13" s="99" t="str">
        <f>INDEX(C4:P28,MATCH(10,Z4:Z28,0),1)</f>
        <v>dębicki</v>
      </c>
      <c r="AB13" s="87">
        <f>INDEX(C4:P28,MATCH(10,Z4:Z28,0),14)</f>
        <v>-1</v>
      </c>
      <c r="AC13" s="158"/>
      <c r="AD13" s="96">
        <f>RANK(T13,$T$4:$T$28,1)+COUNTIF($T$4:T13,T13)-1</f>
        <v>13</v>
      </c>
      <c r="AE13" s="99" t="str">
        <f>INDEX(C4:T28,MATCH(10,AD4:AD28,0),1)</f>
        <v>brzozowski</v>
      </c>
      <c r="AF13" s="87">
        <f>INDEX(C4:T28,MATCH(10,AD4:AD28,0),18)</f>
        <v>89</v>
      </c>
      <c r="AG13" s="116"/>
      <c r="AH13" s="162">
        <v>10</v>
      </c>
      <c r="AI13" s="163">
        <f t="shared" si="5"/>
        <v>-4</v>
      </c>
    </row>
    <row r="14" spans="2:35" x14ac:dyDescent="0.2">
      <c r="B14" s="272">
        <v>11</v>
      </c>
      <c r="C14" s="119" t="s">
        <v>10</v>
      </c>
      <c r="D14" s="257">
        <v>300</v>
      </c>
      <c r="E14" s="93">
        <v>322</v>
      </c>
      <c r="F14" s="143">
        <f t="shared" si="0"/>
        <v>22</v>
      </c>
      <c r="G14" s="108"/>
      <c r="H14" s="88">
        <v>52</v>
      </c>
      <c r="I14" s="87">
        <v>68</v>
      </c>
      <c r="J14" s="102">
        <f t="shared" si="1"/>
        <v>16</v>
      </c>
      <c r="K14" s="111"/>
      <c r="L14" s="88">
        <v>28</v>
      </c>
      <c r="M14" s="87">
        <v>44</v>
      </c>
      <c r="N14" s="102">
        <f t="shared" si="2"/>
        <v>16</v>
      </c>
      <c r="O14" s="111"/>
      <c r="P14" s="96">
        <f t="shared" si="6"/>
        <v>54</v>
      </c>
      <c r="Q14" s="115"/>
      <c r="R14" s="264">
        <v>2629</v>
      </c>
      <c r="S14" s="87">
        <v>2797</v>
      </c>
      <c r="T14" s="87">
        <f t="shared" si="3"/>
        <v>168</v>
      </c>
      <c r="U14" s="81"/>
      <c r="V14" s="264">
        <v>2547</v>
      </c>
      <c r="W14" s="148">
        <v>2679</v>
      </c>
      <c r="X14" s="102">
        <f t="shared" si="4"/>
        <v>132</v>
      </c>
      <c r="Z14" s="96">
        <f>RANK(P14,$P$4:$P$28,1)+COUNTIF($P$4:P14,P14)-1</f>
        <v>22</v>
      </c>
      <c r="AA14" s="99" t="str">
        <f>INDEX(C4:P28,MATCH(11,Z4:Z28,0),1)</f>
        <v>Tarnobrzeg</v>
      </c>
      <c r="AB14" s="87">
        <f>INDEX(C4:P28,MATCH(11,Z4:Z28,0),14)</f>
        <v>0</v>
      </c>
      <c r="AC14" s="158"/>
      <c r="AD14" s="96">
        <f>RANK(T14,$T$4:$T$28,1)+COUNTIF($T$4:T14,T14)-1</f>
        <v>18</v>
      </c>
      <c r="AE14" s="99" t="str">
        <f>INDEX(C4:T28,MATCH(11,AD4:AD28,0),1)</f>
        <v>Tarnobrzeg</v>
      </c>
      <c r="AF14" s="87">
        <f>INDEX(C4:T28,MATCH(11,AD4:AD28,0),18)</f>
        <v>90</v>
      </c>
      <c r="AG14" s="116"/>
      <c r="AH14" s="162">
        <v>11</v>
      </c>
      <c r="AI14" s="163">
        <f t="shared" si="5"/>
        <v>4</v>
      </c>
    </row>
    <row r="15" spans="2:35" x14ac:dyDescent="0.2">
      <c r="B15" s="272">
        <v>12</v>
      </c>
      <c r="C15" s="119" t="s">
        <v>11</v>
      </c>
      <c r="D15" s="257">
        <v>457</v>
      </c>
      <c r="E15" s="93">
        <v>529</v>
      </c>
      <c r="F15" s="143">
        <f t="shared" si="0"/>
        <v>72</v>
      </c>
      <c r="G15" s="108"/>
      <c r="H15" s="88">
        <v>67</v>
      </c>
      <c r="I15" s="87">
        <v>46</v>
      </c>
      <c r="J15" s="102">
        <f t="shared" si="1"/>
        <v>-21</v>
      </c>
      <c r="K15" s="111"/>
      <c r="L15" s="88">
        <v>9</v>
      </c>
      <c r="M15" s="87">
        <v>48</v>
      </c>
      <c r="N15" s="102">
        <f t="shared" si="2"/>
        <v>39</v>
      </c>
      <c r="O15" s="111"/>
      <c r="P15" s="96">
        <f t="shared" si="6"/>
        <v>90</v>
      </c>
      <c r="Q15" s="115"/>
      <c r="R15" s="264">
        <v>2517</v>
      </c>
      <c r="S15" s="87">
        <v>2769</v>
      </c>
      <c r="T15" s="87">
        <f t="shared" si="3"/>
        <v>252</v>
      </c>
      <c r="U15" s="81"/>
      <c r="V15" s="264">
        <v>3017</v>
      </c>
      <c r="W15" s="148">
        <v>3037</v>
      </c>
      <c r="X15" s="102">
        <f t="shared" si="4"/>
        <v>20</v>
      </c>
      <c r="Z15" s="96">
        <f>RANK(P15,$P$4:$P$28,1)+COUNTIF($P$4:P15,P15)-1</f>
        <v>25</v>
      </c>
      <c r="AA15" s="99" t="str">
        <f>INDEX(C4:P28,MATCH(12,Z4:Z28,0),1)</f>
        <v>krośnieński</v>
      </c>
      <c r="AB15" s="87">
        <f>INDEX(C4:P28,MATCH(12,Z4:Z28,0),14)</f>
        <v>5</v>
      </c>
      <c r="AC15" s="158"/>
      <c r="AD15" s="159">
        <f>RANK(T15,$T$4:$T$28,1)+COUNTIF($T$4:T15,T15)-1</f>
        <v>25</v>
      </c>
      <c r="AE15" s="99" t="str">
        <f>INDEX(C4:T28,MATCH(12,AD4:AD28,0),1)</f>
        <v>tarnobrzeski</v>
      </c>
      <c r="AF15" s="87">
        <f>INDEX(C4:T28,MATCH(12,AD4:AD28,0),18)</f>
        <v>92</v>
      </c>
      <c r="AG15" s="116"/>
      <c r="AH15" s="162">
        <v>12</v>
      </c>
      <c r="AI15" s="163">
        <f t="shared" si="5"/>
        <v>0</v>
      </c>
    </row>
    <row r="16" spans="2:35" x14ac:dyDescent="0.2">
      <c r="B16" s="272">
        <v>13</v>
      </c>
      <c r="C16" s="119" t="s">
        <v>12</v>
      </c>
      <c r="D16" s="257">
        <v>199</v>
      </c>
      <c r="E16" s="93">
        <v>250</v>
      </c>
      <c r="F16" s="143">
        <f t="shared" si="0"/>
        <v>51</v>
      </c>
      <c r="G16" s="108"/>
      <c r="H16" s="88">
        <v>70</v>
      </c>
      <c r="I16" s="87">
        <v>73</v>
      </c>
      <c r="J16" s="102">
        <f t="shared" si="1"/>
        <v>3</v>
      </c>
      <c r="K16" s="111"/>
      <c r="L16" s="88">
        <v>42</v>
      </c>
      <c r="M16" s="87">
        <v>40</v>
      </c>
      <c r="N16" s="102">
        <f t="shared" si="2"/>
        <v>-2</v>
      </c>
      <c r="O16" s="111"/>
      <c r="P16" s="96">
        <f t="shared" si="6"/>
        <v>52</v>
      </c>
      <c r="Q16" s="115"/>
      <c r="R16" s="264">
        <v>3116</v>
      </c>
      <c r="S16" s="87">
        <v>3248</v>
      </c>
      <c r="T16" s="87">
        <f t="shared" si="3"/>
        <v>132</v>
      </c>
      <c r="U16" s="81"/>
      <c r="V16" s="264">
        <v>3043</v>
      </c>
      <c r="W16" s="148">
        <v>3129</v>
      </c>
      <c r="X16" s="102">
        <f t="shared" si="4"/>
        <v>86</v>
      </c>
      <c r="Z16" s="96">
        <f>RANK(P16,$P$4:$P$28,1)+COUNTIF($P$4:P16,P16)-1</f>
        <v>21</v>
      </c>
      <c r="AA16" s="99" t="str">
        <f>INDEX(C4:P28,MATCH(13,Z4:Z28,0),1)</f>
        <v>strzyżowski</v>
      </c>
      <c r="AB16" s="87">
        <f>INDEX(C4:P28,MATCH(13,Z4:Z28,0),14)</f>
        <v>6</v>
      </c>
      <c r="AC16" s="158"/>
      <c r="AD16" s="159">
        <f>RANK(T16,$T$4:$T$28,1)+COUNTIF($T$4:T16,T16)-1</f>
        <v>15</v>
      </c>
      <c r="AE16" s="99" t="str">
        <f>INDEX(C4:T28,MATCH(13,AD4:AD28,0),1)</f>
        <v>lubaczowski</v>
      </c>
      <c r="AF16" s="87">
        <f>INDEX(C4:T28,MATCH(13,AD4:AD28,0),18)</f>
        <v>123</v>
      </c>
      <c r="AG16" s="116"/>
      <c r="AH16" s="162">
        <v>13</v>
      </c>
      <c r="AI16" s="163">
        <f t="shared" si="5"/>
        <v>6</v>
      </c>
    </row>
    <row r="17" spans="2:35" x14ac:dyDescent="0.2">
      <c r="B17" s="272">
        <v>14</v>
      </c>
      <c r="C17" s="119" t="s">
        <v>13</v>
      </c>
      <c r="D17" s="257">
        <v>180</v>
      </c>
      <c r="E17" s="93">
        <v>219</v>
      </c>
      <c r="F17" s="143">
        <f t="shared" si="0"/>
        <v>39</v>
      </c>
      <c r="G17" s="108"/>
      <c r="H17" s="88">
        <v>40</v>
      </c>
      <c r="I17" s="87">
        <v>55</v>
      </c>
      <c r="J17" s="102">
        <f t="shared" si="1"/>
        <v>15</v>
      </c>
      <c r="K17" s="111"/>
      <c r="L17" s="88">
        <v>5</v>
      </c>
      <c r="M17" s="87">
        <v>7</v>
      </c>
      <c r="N17" s="102">
        <f t="shared" si="2"/>
        <v>2</v>
      </c>
      <c r="O17" s="111"/>
      <c r="P17" s="96">
        <f t="shared" si="6"/>
        <v>56</v>
      </c>
      <c r="Q17" s="115"/>
      <c r="R17" s="264">
        <v>3084</v>
      </c>
      <c r="S17" s="87">
        <v>3149</v>
      </c>
      <c r="T17" s="87">
        <f t="shared" si="3"/>
        <v>65</v>
      </c>
      <c r="U17" s="81"/>
      <c r="V17" s="264">
        <v>2963</v>
      </c>
      <c r="W17" s="148">
        <v>3107</v>
      </c>
      <c r="X17" s="102">
        <f t="shared" si="4"/>
        <v>144</v>
      </c>
      <c r="Z17" s="96">
        <f>RANK(P17,$P$4:$P$28,1)+COUNTIF($P$4:P17,P17)-1</f>
        <v>23</v>
      </c>
      <c r="AA17" s="99" t="str">
        <f>INDEX(C4:P28,MATCH(14,Z4:Z28,0),1)</f>
        <v>brzozowski</v>
      </c>
      <c r="AB17" s="87">
        <f>INDEX(C4:P28,MATCH(14,Z4:Z28,0),14)</f>
        <v>7</v>
      </c>
      <c r="AC17" s="158"/>
      <c r="AD17" s="159">
        <f>RANK(T17,$T$4:$T$28,1)+COUNTIF($T$4:T17,T17)-1</f>
        <v>4</v>
      </c>
      <c r="AE17" s="99" t="str">
        <f>INDEX(C4:T28,MATCH(14,AD4:AD28,0),1)</f>
        <v>rzeszowski</v>
      </c>
      <c r="AF17" s="87">
        <f>INDEX(C4:T28,MATCH(14,AD4:AD28,0),18)</f>
        <v>130</v>
      </c>
      <c r="AG17" s="116"/>
      <c r="AH17" s="162">
        <v>14</v>
      </c>
      <c r="AI17" s="163">
        <f t="shared" si="5"/>
        <v>19</v>
      </c>
    </row>
    <row r="18" spans="2:35" x14ac:dyDescent="0.2">
      <c r="B18" s="272">
        <v>15</v>
      </c>
      <c r="C18" s="119" t="s">
        <v>14</v>
      </c>
      <c r="D18" s="257">
        <v>390</v>
      </c>
      <c r="E18" s="93">
        <v>390</v>
      </c>
      <c r="F18" s="143">
        <f t="shared" si="0"/>
        <v>0</v>
      </c>
      <c r="G18" s="108"/>
      <c r="H18" s="88">
        <v>168</v>
      </c>
      <c r="I18" s="87">
        <v>178</v>
      </c>
      <c r="J18" s="102">
        <f t="shared" si="1"/>
        <v>10</v>
      </c>
      <c r="K18" s="111"/>
      <c r="L18" s="88">
        <v>112</v>
      </c>
      <c r="M18" s="87">
        <v>137</v>
      </c>
      <c r="N18" s="102">
        <f t="shared" si="2"/>
        <v>25</v>
      </c>
      <c r="O18" s="111"/>
      <c r="P18" s="260">
        <f>F18+J18+N18</f>
        <v>35</v>
      </c>
      <c r="Q18" s="115"/>
      <c r="R18" s="264">
        <v>3654</v>
      </c>
      <c r="S18" s="87">
        <v>3596</v>
      </c>
      <c r="T18" s="87">
        <f t="shared" si="3"/>
        <v>-58</v>
      </c>
      <c r="U18" s="81"/>
      <c r="V18" s="264">
        <v>3397</v>
      </c>
      <c r="W18" s="148">
        <v>3401</v>
      </c>
      <c r="X18" s="102">
        <f t="shared" si="4"/>
        <v>4</v>
      </c>
      <c r="Z18" s="96">
        <f>RANK(P18,$P$4:$P$28,1)+COUNTIF($P$4:P18,P18)-1</f>
        <v>19</v>
      </c>
      <c r="AA18" s="99" t="str">
        <f>INDEX(C4:P28,MATCH(15,Z4:Z28,0),1)</f>
        <v>Krosno</v>
      </c>
      <c r="AB18" s="87">
        <f>INDEX(C4:P28,MATCH(15,Z4:Z28,0),14)</f>
        <v>8</v>
      </c>
      <c r="AC18" s="158"/>
      <c r="AD18" s="159">
        <f>RANK(T18,$T$4:$T$28,1)+COUNTIF($T$4:T18,T18)-1</f>
        <v>1</v>
      </c>
      <c r="AE18" s="99" t="str">
        <f>INDEX(C4:T28,MATCH(15,AD4:AD28,0),1)</f>
        <v>niżański</v>
      </c>
      <c r="AF18" s="87">
        <f>INDEX(C4:T28,MATCH(15,AD4:AD28,0),18)</f>
        <v>132</v>
      </c>
      <c r="AG18" s="116"/>
      <c r="AH18" s="162">
        <v>15</v>
      </c>
      <c r="AI18" s="163">
        <f t="shared" si="5"/>
        <v>18</v>
      </c>
    </row>
    <row r="19" spans="2:35" ht="12" customHeight="1" x14ac:dyDescent="0.2">
      <c r="B19" s="272">
        <v>16</v>
      </c>
      <c r="C19" s="119" t="s">
        <v>15</v>
      </c>
      <c r="D19" s="257">
        <v>318</v>
      </c>
      <c r="E19" s="93">
        <v>283</v>
      </c>
      <c r="F19" s="143">
        <f t="shared" si="0"/>
        <v>-35</v>
      </c>
      <c r="G19" s="108"/>
      <c r="H19" s="88">
        <v>52</v>
      </c>
      <c r="I19" s="87">
        <v>41</v>
      </c>
      <c r="J19" s="102">
        <f t="shared" si="1"/>
        <v>-11</v>
      </c>
      <c r="K19" s="111"/>
      <c r="L19" s="88">
        <v>21</v>
      </c>
      <c r="M19" s="87">
        <v>28</v>
      </c>
      <c r="N19" s="102">
        <f t="shared" si="2"/>
        <v>7</v>
      </c>
      <c r="O19" s="111"/>
      <c r="P19" s="260">
        <f t="shared" si="6"/>
        <v>-39</v>
      </c>
      <c r="Q19" s="115"/>
      <c r="R19" s="264">
        <v>2769</v>
      </c>
      <c r="S19" s="87">
        <v>2836</v>
      </c>
      <c r="T19" s="87">
        <f t="shared" si="3"/>
        <v>67</v>
      </c>
      <c r="U19" s="81"/>
      <c r="V19" s="264">
        <v>2551</v>
      </c>
      <c r="W19" s="148">
        <v>2677</v>
      </c>
      <c r="X19" s="102">
        <f t="shared" si="4"/>
        <v>126</v>
      </c>
      <c r="Z19" s="96">
        <f>RANK(P19,$P$4:$P$28,1)+COUNTIF($P$4:P19,P19)-1</f>
        <v>4</v>
      </c>
      <c r="AA19" s="99" t="str">
        <f>INDEX(C4:P28,MATCH(16,Z4:Z28,0),1)</f>
        <v>bieszczadzki</v>
      </c>
      <c r="AB19" s="87">
        <f>INDEX(C4:P28,MATCH(16,Z4:Z28,0),14)</f>
        <v>16</v>
      </c>
      <c r="AC19" s="158"/>
      <c r="AD19" s="159">
        <f>RANK(T19,$T$4:$T$28,1)+COUNTIF($T$4:T19,T19)-1</f>
        <v>6</v>
      </c>
      <c r="AE19" s="99" t="str">
        <f>INDEX(C4:T28,MATCH(16,AD4:AD28,0),1)</f>
        <v>kolbuszowski</v>
      </c>
      <c r="AF19" s="87">
        <f>INDEX(C4:T28,MATCH(16,AD4:AD28,0),18)</f>
        <v>133</v>
      </c>
      <c r="AG19" s="116"/>
      <c r="AH19" s="162">
        <v>16</v>
      </c>
      <c r="AI19" s="163">
        <f t="shared" si="5"/>
        <v>-2</v>
      </c>
    </row>
    <row r="20" spans="2:35" x14ac:dyDescent="0.2">
      <c r="B20" s="272">
        <v>17</v>
      </c>
      <c r="C20" s="119" t="s">
        <v>16</v>
      </c>
      <c r="D20" s="257">
        <v>465</v>
      </c>
      <c r="E20" s="93">
        <v>560</v>
      </c>
      <c r="F20" s="143">
        <f t="shared" si="0"/>
        <v>95</v>
      </c>
      <c r="G20" s="108"/>
      <c r="H20" s="88">
        <v>44</v>
      </c>
      <c r="I20" s="87">
        <v>31</v>
      </c>
      <c r="J20" s="102">
        <f t="shared" si="1"/>
        <v>-13</v>
      </c>
      <c r="K20" s="111"/>
      <c r="L20" s="88">
        <v>34</v>
      </c>
      <c r="M20" s="87">
        <v>20</v>
      </c>
      <c r="N20" s="102">
        <f t="shared" si="2"/>
        <v>-14</v>
      </c>
      <c r="O20" s="111"/>
      <c r="P20" s="96">
        <f t="shared" si="6"/>
        <v>68</v>
      </c>
      <c r="Q20" s="115"/>
      <c r="R20" s="264">
        <v>4962</v>
      </c>
      <c r="S20" s="87">
        <v>5092</v>
      </c>
      <c r="T20" s="87">
        <f t="shared" si="3"/>
        <v>130</v>
      </c>
      <c r="U20" s="81"/>
      <c r="V20" s="264">
        <v>4670</v>
      </c>
      <c r="W20" s="148">
        <v>4809</v>
      </c>
      <c r="X20" s="102">
        <f t="shared" si="4"/>
        <v>139</v>
      </c>
      <c r="Z20" s="96">
        <f>RANK(P20,$P$4:$P$28,1)+COUNTIF($P$4:P20,P20)-1</f>
        <v>24</v>
      </c>
      <c r="AA20" s="99" t="str">
        <f>INDEX(C4:P28,MATCH(17,Z4:Z28,0),1)</f>
        <v>Przemyśl</v>
      </c>
      <c r="AB20" s="87">
        <f>INDEX(C4:P28,MATCH(17,Z4:Z28,0),14)</f>
        <v>21</v>
      </c>
      <c r="AC20" s="158"/>
      <c r="AD20" s="159">
        <f>RANK(T20,$T$4:$T$28,1)+COUNTIF($T$4:T20,T20)-1</f>
        <v>14</v>
      </c>
      <c r="AE20" s="99" t="str">
        <f>INDEX(C4:T28,MATCH(17,AD4:AD28,0),1)</f>
        <v>strzyżowski</v>
      </c>
      <c r="AF20" s="87">
        <f>INDEX(C4:T28,MATCH(17,AD4:AD28,0),18)</f>
        <v>151</v>
      </c>
      <c r="AG20" s="116"/>
      <c r="AH20" s="162">
        <v>17</v>
      </c>
      <c r="AI20" s="163">
        <f t="shared" si="5"/>
        <v>10</v>
      </c>
    </row>
    <row r="21" spans="2:35" x14ac:dyDescent="0.2">
      <c r="B21" s="272">
        <v>18</v>
      </c>
      <c r="C21" s="119" t="s">
        <v>17</v>
      </c>
      <c r="D21" s="257">
        <v>251</v>
      </c>
      <c r="E21" s="93">
        <v>307</v>
      </c>
      <c r="F21" s="143">
        <f t="shared" si="0"/>
        <v>56</v>
      </c>
      <c r="G21" s="108"/>
      <c r="H21" s="88">
        <v>23</v>
      </c>
      <c r="I21" s="87">
        <v>20</v>
      </c>
      <c r="J21" s="102">
        <f t="shared" si="1"/>
        <v>-3</v>
      </c>
      <c r="K21" s="111"/>
      <c r="L21" s="88">
        <v>5</v>
      </c>
      <c r="M21" s="87">
        <v>3</v>
      </c>
      <c r="N21" s="102">
        <f t="shared" si="2"/>
        <v>-2</v>
      </c>
      <c r="O21" s="111"/>
      <c r="P21" s="96">
        <f t="shared" si="6"/>
        <v>51</v>
      </c>
      <c r="Q21" s="115"/>
      <c r="R21" s="264">
        <v>2644</v>
      </c>
      <c r="S21" s="87">
        <v>2840</v>
      </c>
      <c r="T21" s="87">
        <f t="shared" si="3"/>
        <v>196</v>
      </c>
      <c r="U21" s="81"/>
      <c r="V21" s="264">
        <v>2737</v>
      </c>
      <c r="W21" s="148">
        <v>2908</v>
      </c>
      <c r="X21" s="102">
        <f t="shared" si="4"/>
        <v>171</v>
      </c>
      <c r="Z21" s="96">
        <f>RANK(P21,$P$4:$P$28,1)+COUNTIF($P$4:P21,P21)-1</f>
        <v>20</v>
      </c>
      <c r="AA21" s="99" t="str">
        <f>INDEX(C4:P28,MATCH(18,Z4:Z28,0),1)</f>
        <v>jasielski</v>
      </c>
      <c r="AB21" s="87">
        <f>INDEX(C4:P28,MATCH(18,Z4:Z28,0),14)</f>
        <v>22</v>
      </c>
      <c r="AC21" s="158"/>
      <c r="AD21" s="159">
        <f>RANK(T21,$T$4:$T$28,1)+COUNTIF($T$4:T21,T21)-1</f>
        <v>21</v>
      </c>
      <c r="AE21" s="99" t="str">
        <f>INDEX(C4:T28,MATCH(18,AD4:AD28,0),1)</f>
        <v>łańcucki</v>
      </c>
      <c r="AF21" s="87">
        <f>INDEX(C4:T28,MATCH(18,AD4:AD28,0),18)</f>
        <v>168</v>
      </c>
      <c r="AG21" s="116"/>
      <c r="AH21" s="162">
        <v>18</v>
      </c>
      <c r="AI21" s="163">
        <f t="shared" si="5"/>
        <v>-1</v>
      </c>
    </row>
    <row r="22" spans="2:35" x14ac:dyDescent="0.2">
      <c r="B22" s="272">
        <v>19</v>
      </c>
      <c r="C22" s="119" t="s">
        <v>18</v>
      </c>
      <c r="D22" s="257">
        <v>299</v>
      </c>
      <c r="E22" s="93">
        <v>289</v>
      </c>
      <c r="F22" s="143">
        <f t="shared" si="0"/>
        <v>-10</v>
      </c>
      <c r="G22" s="108"/>
      <c r="H22" s="88">
        <v>32</v>
      </c>
      <c r="I22" s="87">
        <v>27</v>
      </c>
      <c r="J22" s="102">
        <f t="shared" si="1"/>
        <v>-5</v>
      </c>
      <c r="K22" s="111"/>
      <c r="L22" s="88">
        <v>25</v>
      </c>
      <c r="M22" s="87">
        <v>16</v>
      </c>
      <c r="N22" s="102">
        <f t="shared" si="2"/>
        <v>-9</v>
      </c>
      <c r="O22" s="111"/>
      <c r="P22" s="96">
        <f t="shared" si="6"/>
        <v>-24</v>
      </c>
      <c r="Q22" s="115"/>
      <c r="R22" s="264">
        <v>1841</v>
      </c>
      <c r="S22" s="87">
        <v>2013</v>
      </c>
      <c r="T22" s="87">
        <f t="shared" si="3"/>
        <v>172</v>
      </c>
      <c r="U22" s="81"/>
      <c r="V22" s="264">
        <v>1943</v>
      </c>
      <c r="W22" s="148">
        <v>2079</v>
      </c>
      <c r="X22" s="102">
        <f t="shared" si="4"/>
        <v>136</v>
      </c>
      <c r="Z22" s="96">
        <f>RANK(P22,$P$4:$P$28,1)+COUNTIF($P$4:P22,P22)-1</f>
        <v>6</v>
      </c>
      <c r="AA22" s="99" t="str">
        <f>INDEX(C4:P28,MATCH(19,Z4:Z28,0),1)</f>
        <v>przeworski</v>
      </c>
      <c r="AB22" s="87">
        <f>INDEX(C4:P28,MATCH(19,Z4:Z28,0),14)</f>
        <v>35</v>
      </c>
      <c r="AC22" s="158"/>
      <c r="AD22" s="159">
        <f>RANK(T22,$T$4:$T$28,1)+COUNTIF($T$4:T22,T22)-1</f>
        <v>20</v>
      </c>
      <c r="AE22" s="99" t="str">
        <f>INDEX(C4:T28,MATCH(19,AD4:AD28,0),1)</f>
        <v>jarosławski</v>
      </c>
      <c r="AF22" s="87">
        <f>INDEX(C4:T28,MATCH(19,AD4:AD28,0),18)</f>
        <v>169</v>
      </c>
      <c r="AG22" s="116"/>
      <c r="AH22" s="162">
        <v>19</v>
      </c>
      <c r="AI22" s="163">
        <f t="shared" si="5"/>
        <v>-14</v>
      </c>
    </row>
    <row r="23" spans="2:35" x14ac:dyDescent="0.2">
      <c r="B23" s="272">
        <v>20</v>
      </c>
      <c r="C23" s="119" t="s">
        <v>19</v>
      </c>
      <c r="D23" s="257">
        <v>311</v>
      </c>
      <c r="E23" s="93">
        <v>350</v>
      </c>
      <c r="F23" s="143">
        <f t="shared" si="0"/>
        <v>39</v>
      </c>
      <c r="G23" s="108"/>
      <c r="H23" s="88">
        <v>52</v>
      </c>
      <c r="I23" s="87">
        <v>57</v>
      </c>
      <c r="J23" s="102">
        <f t="shared" si="1"/>
        <v>5</v>
      </c>
      <c r="K23" s="111"/>
      <c r="L23" s="88">
        <v>98</v>
      </c>
      <c r="M23" s="87">
        <v>60</v>
      </c>
      <c r="N23" s="102">
        <f t="shared" si="2"/>
        <v>-38</v>
      </c>
      <c r="O23" s="111"/>
      <c r="P23" s="96">
        <f t="shared" si="6"/>
        <v>6</v>
      </c>
      <c r="Q23" s="115"/>
      <c r="R23" s="264">
        <v>3266</v>
      </c>
      <c r="S23" s="87">
        <v>3417</v>
      </c>
      <c r="T23" s="87">
        <f t="shared" si="3"/>
        <v>151</v>
      </c>
      <c r="U23" s="81"/>
      <c r="V23" s="264">
        <v>3125</v>
      </c>
      <c r="W23" s="148">
        <v>3236</v>
      </c>
      <c r="X23" s="102">
        <f t="shared" si="4"/>
        <v>111</v>
      </c>
      <c r="Z23" s="96">
        <f>RANK(P23,$P$4:$P$28,1)+COUNTIF($P$4:P23,P23)-1</f>
        <v>13</v>
      </c>
      <c r="AA23" s="99" t="str">
        <f>INDEX(C4:P28,MATCH(20,Z4:Z28,0),1)</f>
        <v>sanocki</v>
      </c>
      <c r="AB23" s="87">
        <f>INDEX(C4:P28,MATCH(20,Z4:Z28,0),14)</f>
        <v>51</v>
      </c>
      <c r="AC23" s="158"/>
      <c r="AD23" s="159">
        <f>RANK(T23,$T$4:$T$28,1)+COUNTIF($T$4:T23,T23)-1</f>
        <v>17</v>
      </c>
      <c r="AE23" s="99" t="str">
        <f>INDEX(C4:T28,MATCH(20,AD4:AD28,0),1)</f>
        <v>stalowowolski</v>
      </c>
      <c r="AF23" s="87">
        <f>INDEX(C4:T28,MATCH(20,AD4:AD28,0),18)</f>
        <v>172</v>
      </c>
      <c r="AG23" s="116"/>
      <c r="AH23" s="162">
        <v>20</v>
      </c>
      <c r="AI23" s="163">
        <f t="shared" si="5"/>
        <v>-4</v>
      </c>
    </row>
    <row r="24" spans="2:35" ht="12" thickBot="1" x14ac:dyDescent="0.25">
      <c r="B24" s="272">
        <v>21</v>
      </c>
      <c r="C24" s="120" t="s">
        <v>102</v>
      </c>
      <c r="D24" s="258">
        <v>155</v>
      </c>
      <c r="E24" s="112">
        <v>143</v>
      </c>
      <c r="F24" s="144">
        <f t="shared" si="0"/>
        <v>-12</v>
      </c>
      <c r="G24" s="108"/>
      <c r="H24" s="91">
        <v>63</v>
      </c>
      <c r="I24" s="89">
        <v>71</v>
      </c>
      <c r="J24" s="104">
        <f t="shared" si="1"/>
        <v>8</v>
      </c>
      <c r="K24" s="111"/>
      <c r="L24" s="91">
        <v>28</v>
      </c>
      <c r="M24" s="89">
        <v>16</v>
      </c>
      <c r="N24" s="104">
        <f t="shared" si="2"/>
        <v>-12</v>
      </c>
      <c r="O24" s="111"/>
      <c r="P24" s="261">
        <f t="shared" si="6"/>
        <v>-16</v>
      </c>
      <c r="Q24" s="115"/>
      <c r="R24" s="265">
        <v>1284</v>
      </c>
      <c r="S24" s="89">
        <v>1376</v>
      </c>
      <c r="T24" s="90">
        <f t="shared" si="3"/>
        <v>92</v>
      </c>
      <c r="U24" s="81"/>
      <c r="V24" s="265">
        <v>1251</v>
      </c>
      <c r="W24" s="153">
        <v>1359</v>
      </c>
      <c r="X24" s="103">
        <f t="shared" si="4"/>
        <v>108</v>
      </c>
      <c r="Z24" s="156">
        <f>RANK(P24,$P$4:$P$28,1)+COUNTIF($P$4:P24,P24)-1</f>
        <v>8</v>
      </c>
      <c r="AA24" s="124" t="str">
        <f>INDEX(C4:P28,MATCH(21,Z4:Z28,0),1)</f>
        <v>niżański</v>
      </c>
      <c r="AB24" s="90">
        <f>INDEX(C4:P28,MATCH(21,Z4:Z28,0),14)</f>
        <v>52</v>
      </c>
      <c r="AC24" s="158"/>
      <c r="AD24" s="160">
        <f>RANK(T24,$T$4:$T$28,1)+COUNTIF($T$4:T24,T24)-1</f>
        <v>12</v>
      </c>
      <c r="AE24" s="124" t="str">
        <f>INDEX(C4:T28,MATCH(21,AD4:AD28,0),1)</f>
        <v>sanocki</v>
      </c>
      <c r="AF24" s="90">
        <f>INDEX(C4:T28,MATCH(21,AD4:AD28,0),18)</f>
        <v>196</v>
      </c>
      <c r="AG24" s="116"/>
      <c r="AH24" s="162">
        <v>21</v>
      </c>
      <c r="AI24" s="163">
        <f t="shared" si="5"/>
        <v>-4</v>
      </c>
    </row>
    <row r="25" spans="2:35" x14ac:dyDescent="0.2">
      <c r="B25" s="272">
        <v>22</v>
      </c>
      <c r="C25" s="121" t="s">
        <v>21</v>
      </c>
      <c r="D25" s="257">
        <v>86</v>
      </c>
      <c r="E25" s="94">
        <v>93</v>
      </c>
      <c r="F25" s="145">
        <f t="shared" si="0"/>
        <v>7</v>
      </c>
      <c r="G25" s="109"/>
      <c r="H25" s="88">
        <v>13</v>
      </c>
      <c r="I25" s="87">
        <v>13</v>
      </c>
      <c r="J25" s="102">
        <f t="shared" si="1"/>
        <v>0</v>
      </c>
      <c r="K25" s="111"/>
      <c r="L25" s="88">
        <v>10</v>
      </c>
      <c r="M25" s="87">
        <v>11</v>
      </c>
      <c r="N25" s="102">
        <f t="shared" si="2"/>
        <v>1</v>
      </c>
      <c r="O25" s="111"/>
      <c r="P25" s="96">
        <f t="shared" si="6"/>
        <v>8</v>
      </c>
      <c r="Q25" s="115"/>
      <c r="R25" s="264">
        <v>720</v>
      </c>
      <c r="S25" s="87">
        <v>802</v>
      </c>
      <c r="T25" s="85">
        <f t="shared" si="3"/>
        <v>82</v>
      </c>
      <c r="U25" s="81"/>
      <c r="V25" s="264">
        <v>790</v>
      </c>
      <c r="W25" s="148">
        <v>906</v>
      </c>
      <c r="X25" s="147">
        <f t="shared" si="4"/>
        <v>116</v>
      </c>
      <c r="Z25" s="95">
        <f>RANK(P25,$P$4:$P$28,1)+COUNTIF($P$4:P25,P25)-1</f>
        <v>15</v>
      </c>
      <c r="AA25" s="98" t="str">
        <f>INDEX(C4:P28,MATCH(22,Z4:Z28,0),1)</f>
        <v>łańcucki</v>
      </c>
      <c r="AB25" s="85">
        <f>INDEX(C4:P28,MATCH(22,Z4:Z28,0),14)</f>
        <v>54</v>
      </c>
      <c r="AC25" s="158"/>
      <c r="AD25" s="95">
        <f>RANK(T25,$T$4:$T$28,1)+COUNTIF($T$4:T25,T25)-1</f>
        <v>8</v>
      </c>
      <c r="AE25" s="98" t="str">
        <f>INDEX(C4:T28,MATCH(22,AD4:AD28,0),1)</f>
        <v>dębicki</v>
      </c>
      <c r="AF25" s="85">
        <f>INDEX(C4:T28,MATCH(22,AD4:AD28,0),18)</f>
        <v>197</v>
      </c>
      <c r="AG25" s="116"/>
      <c r="AH25" s="162">
        <v>22</v>
      </c>
      <c r="AI25" s="163">
        <f t="shared" si="5"/>
        <v>7</v>
      </c>
    </row>
    <row r="26" spans="2:35" x14ac:dyDescent="0.2">
      <c r="B26" s="272">
        <v>23</v>
      </c>
      <c r="C26" s="121" t="s">
        <v>22</v>
      </c>
      <c r="D26" s="257">
        <v>141</v>
      </c>
      <c r="E26" s="94">
        <v>146</v>
      </c>
      <c r="F26" s="145">
        <f t="shared" si="0"/>
        <v>5</v>
      </c>
      <c r="G26" s="109"/>
      <c r="H26" s="88">
        <v>36</v>
      </c>
      <c r="I26" s="87">
        <v>49</v>
      </c>
      <c r="J26" s="102">
        <f t="shared" si="1"/>
        <v>13</v>
      </c>
      <c r="K26" s="111"/>
      <c r="L26" s="88">
        <v>1</v>
      </c>
      <c r="M26" s="87">
        <v>4</v>
      </c>
      <c r="N26" s="102">
        <f t="shared" si="2"/>
        <v>3</v>
      </c>
      <c r="O26" s="111"/>
      <c r="P26" s="96">
        <f t="shared" si="6"/>
        <v>21</v>
      </c>
      <c r="Q26" s="115"/>
      <c r="R26" s="264">
        <v>2487</v>
      </c>
      <c r="S26" s="87">
        <v>2556</v>
      </c>
      <c r="T26" s="87">
        <f t="shared" si="3"/>
        <v>69</v>
      </c>
      <c r="U26" s="81"/>
      <c r="V26" s="264">
        <v>2346</v>
      </c>
      <c r="W26" s="148">
        <v>2506</v>
      </c>
      <c r="X26" s="102">
        <f t="shared" si="4"/>
        <v>160</v>
      </c>
      <c r="Z26" s="96">
        <f>RANK(P26,$P$4:$P$28,1)+COUNTIF($P$4:P26,P26)-1</f>
        <v>17</v>
      </c>
      <c r="AA26" s="99" t="str">
        <f>INDEX(C4:P28,MATCH(23,Z4:Z28,0),1)</f>
        <v>przemyski</v>
      </c>
      <c r="AB26" s="87">
        <f>INDEX(C4:P28,MATCH(23,Z4:Z28,0),14)</f>
        <v>56</v>
      </c>
      <c r="AC26" s="158"/>
      <c r="AD26" s="159">
        <f>RANK(T26,$T$4:$T$28,1)+COUNTIF($T$4:T26,T26)-1</f>
        <v>7</v>
      </c>
      <c r="AE26" s="99" t="str">
        <f>INDEX(C4:T28,MATCH(23,AD4:AD28,0),1)</f>
        <v>krośnieński</v>
      </c>
      <c r="AF26" s="87">
        <f>INDEX(C4:T28,MATCH(23,AD4:AD28,0),18)</f>
        <v>210</v>
      </c>
      <c r="AG26" s="116"/>
      <c r="AH26" s="162">
        <v>23</v>
      </c>
      <c r="AI26" s="163">
        <f t="shared" si="5"/>
        <v>10</v>
      </c>
    </row>
    <row r="27" spans="2:35" x14ac:dyDescent="0.2">
      <c r="B27" s="272">
        <v>24</v>
      </c>
      <c r="C27" s="121" t="s">
        <v>23</v>
      </c>
      <c r="D27" s="257">
        <v>555</v>
      </c>
      <c r="E27" s="94">
        <v>567</v>
      </c>
      <c r="F27" s="145">
        <f t="shared" si="0"/>
        <v>12</v>
      </c>
      <c r="G27" s="109"/>
      <c r="H27" s="88">
        <v>38</v>
      </c>
      <c r="I27" s="87">
        <v>38</v>
      </c>
      <c r="J27" s="102">
        <f t="shared" si="1"/>
        <v>0</v>
      </c>
      <c r="K27" s="111"/>
      <c r="L27" s="88">
        <v>68</v>
      </c>
      <c r="M27" s="87">
        <v>34</v>
      </c>
      <c r="N27" s="102">
        <f t="shared" si="2"/>
        <v>-34</v>
      </c>
      <c r="O27" s="111"/>
      <c r="P27" s="96">
        <f t="shared" si="6"/>
        <v>-22</v>
      </c>
      <c r="Q27" s="115"/>
      <c r="R27" s="264">
        <v>5452</v>
      </c>
      <c r="S27" s="87">
        <v>5508</v>
      </c>
      <c r="T27" s="87">
        <f t="shared" si="3"/>
        <v>56</v>
      </c>
      <c r="U27" s="81"/>
      <c r="V27" s="264">
        <v>5033</v>
      </c>
      <c r="W27" s="148">
        <v>5182</v>
      </c>
      <c r="X27" s="102">
        <f t="shared" si="4"/>
        <v>149</v>
      </c>
      <c r="Z27" s="96">
        <f>RANK(P27,$P$4:$P$28,1)+COUNTIF($P$4:P27,P27)-1</f>
        <v>7</v>
      </c>
      <c r="AA27" s="99" t="str">
        <f>INDEX(C4:P28,MATCH(24,Z4:Z28,0),1)</f>
        <v>rzeszowski</v>
      </c>
      <c r="AB27" s="87">
        <f>INDEX(C4:P28,MATCH(24,Z4:Z28,0),14)</f>
        <v>68</v>
      </c>
      <c r="AC27" s="158"/>
      <c r="AD27" s="159">
        <f>RANK(T27,$T$4:$T$28,1)+COUNTIF($T$4:T27,T27)-1</f>
        <v>3</v>
      </c>
      <c r="AE27" s="99" t="str">
        <f>INDEX(C4:T28,MATCH(24,AD4:AD28,0),1)</f>
        <v>jasielski</v>
      </c>
      <c r="AF27" s="87">
        <f>INDEX(C4:T28,MATCH(24,AD4:AD28,0),18)</f>
        <v>230</v>
      </c>
      <c r="AG27" s="116"/>
      <c r="AH27" s="162">
        <v>24</v>
      </c>
      <c r="AI27" s="163">
        <f t="shared" si="5"/>
        <v>4</v>
      </c>
    </row>
    <row r="28" spans="2:35" ht="12" thickBot="1" x14ac:dyDescent="0.25">
      <c r="B28" s="272">
        <v>25</v>
      </c>
      <c r="C28" s="122" t="s">
        <v>24</v>
      </c>
      <c r="D28" s="258">
        <v>120</v>
      </c>
      <c r="E28" s="113">
        <v>130</v>
      </c>
      <c r="F28" s="146">
        <f t="shared" si="0"/>
        <v>10</v>
      </c>
      <c r="G28" s="109"/>
      <c r="H28" s="91">
        <v>36</v>
      </c>
      <c r="I28" s="89">
        <v>25</v>
      </c>
      <c r="J28" s="104">
        <f t="shared" si="1"/>
        <v>-11</v>
      </c>
      <c r="K28" s="111"/>
      <c r="L28" s="91">
        <v>22</v>
      </c>
      <c r="M28" s="89">
        <v>23</v>
      </c>
      <c r="N28" s="104">
        <f t="shared" si="2"/>
        <v>1</v>
      </c>
      <c r="O28" s="111"/>
      <c r="P28" s="123">
        <f t="shared" si="6"/>
        <v>0</v>
      </c>
      <c r="Q28" s="115"/>
      <c r="R28" s="265">
        <v>1065</v>
      </c>
      <c r="S28" s="89">
        <v>1155</v>
      </c>
      <c r="T28" s="89">
        <f t="shared" si="3"/>
        <v>90</v>
      </c>
      <c r="U28" s="81"/>
      <c r="V28" s="265">
        <v>1065</v>
      </c>
      <c r="W28" s="153">
        <v>1161</v>
      </c>
      <c r="X28" s="104">
        <f t="shared" si="4"/>
        <v>96</v>
      </c>
      <c r="Z28" s="123">
        <f>RANK(P28,$P$4:$P$28,1)+COUNTIF($P$4:P28,P28)-1</f>
        <v>11</v>
      </c>
      <c r="AA28" s="100" t="str">
        <f>INDEX(C4:P28,MATCH(25,Z4:Z28,0),1)</f>
        <v>mielecki</v>
      </c>
      <c r="AB28" s="89">
        <f>INDEX(C4:P28,MATCH(25,Z4:Z28,0),14)</f>
        <v>90</v>
      </c>
      <c r="AC28" s="158"/>
      <c r="AD28" s="161">
        <f>RANK(T28,$T$4:$T$28,1)+COUNTIF($T$4:T28,T28)-1</f>
        <v>11</v>
      </c>
      <c r="AE28" s="100" t="str">
        <f>INDEX(C4:T28,MATCH(25,AD4:AD28,0),1)</f>
        <v>mielecki</v>
      </c>
      <c r="AF28" s="89">
        <f>INDEX(C4:T28,MATCH(25,AD4:AD28,0),18)</f>
        <v>252</v>
      </c>
      <c r="AG28" s="116"/>
      <c r="AH28" s="162">
        <v>25</v>
      </c>
      <c r="AI28" s="163">
        <f t="shared" si="5"/>
        <v>0</v>
      </c>
    </row>
    <row r="29" spans="2:35" ht="12" thickBot="1" x14ac:dyDescent="0.25">
      <c r="C29" s="125" t="s">
        <v>103</v>
      </c>
      <c r="D29" s="126">
        <f>SUM(D4:D28)</f>
        <v>6855</v>
      </c>
      <c r="E29" s="130">
        <f>SUM(E4:E28)</f>
        <v>6969</v>
      </c>
      <c r="F29" s="131">
        <f t="shared" ref="F29:S29" si="7">SUM(F4:F28)</f>
        <v>114</v>
      </c>
      <c r="G29" s="111"/>
      <c r="H29" s="128">
        <f t="shared" si="7"/>
        <v>1318</v>
      </c>
      <c r="I29" s="127">
        <f t="shared" si="7"/>
        <v>1189</v>
      </c>
      <c r="J29" s="131">
        <f t="shared" si="7"/>
        <v>-129</v>
      </c>
      <c r="K29" s="111"/>
      <c r="L29" s="128">
        <f t="shared" si="7"/>
        <v>770</v>
      </c>
      <c r="M29" s="127">
        <f t="shared" si="7"/>
        <v>828</v>
      </c>
      <c r="N29" s="131">
        <f t="shared" si="7"/>
        <v>58</v>
      </c>
      <c r="O29" s="111"/>
      <c r="P29" s="129">
        <f t="shared" si="7"/>
        <v>43</v>
      </c>
      <c r="Q29" s="116"/>
      <c r="R29" s="266">
        <f t="shared" si="7"/>
        <v>69046</v>
      </c>
      <c r="S29" s="127">
        <f t="shared" si="7"/>
        <v>72068</v>
      </c>
      <c r="T29" s="130">
        <f>SUM(T4:T28)</f>
        <v>3022</v>
      </c>
      <c r="U29" s="81"/>
      <c r="V29" s="266">
        <f>SUM(V4:V28)</f>
        <v>67653</v>
      </c>
      <c r="W29" s="154">
        <f>SUM(W4:W28)</f>
        <v>70751</v>
      </c>
      <c r="X29" s="154">
        <f>SUM(W29-V29)</f>
        <v>3098</v>
      </c>
      <c r="Z29" s="155"/>
      <c r="AA29" s="155"/>
      <c r="AB29" s="155"/>
      <c r="AC29" s="116"/>
      <c r="AD29" s="155"/>
      <c r="AE29" s="155"/>
      <c r="AF29" s="155"/>
      <c r="AG29" s="116"/>
      <c r="AH29" s="116"/>
      <c r="AI29" s="105"/>
    </row>
    <row r="30" spans="2:35" x14ac:dyDescent="0.2">
      <c r="Q30" s="117"/>
    </row>
  </sheetData>
  <pageMargins left="0" right="0" top="0" bottom="0" header="0" footer="0"/>
  <pageSetup paperSize="9" scale="6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dimension ref="A1:M36"/>
  <sheetViews>
    <sheetView zoomScale="80" zoomScaleNormal="80" workbookViewId="0">
      <selection activeCell="B1" sqref="B1"/>
    </sheetView>
  </sheetViews>
  <sheetFormatPr defaultRowHeight="12" x14ac:dyDescent="0.2"/>
  <cols>
    <col min="1" max="1" width="2" style="172" customWidth="1"/>
    <col min="2" max="2" width="10.7109375" style="173" customWidth="1"/>
    <col min="3" max="3" width="6.85546875" style="173" customWidth="1"/>
    <col min="4" max="4" width="11.140625" style="173" customWidth="1"/>
    <col min="5" max="5" width="14" style="173" customWidth="1"/>
    <col min="6" max="6" width="9.85546875" style="173" customWidth="1"/>
    <col min="7" max="7" width="12.28515625" style="173" customWidth="1"/>
    <col min="8" max="8" width="10.85546875" style="173" customWidth="1"/>
    <col min="9" max="9" width="10.5703125" style="173" customWidth="1"/>
    <col min="10" max="10" width="3.42578125" style="173" customWidth="1"/>
    <col min="11" max="11" width="10.5703125" style="173" customWidth="1"/>
    <col min="12" max="12" width="10.85546875" style="173" customWidth="1"/>
    <col min="13" max="13" width="11.5703125" style="173" customWidth="1"/>
    <col min="14" max="14" width="4.7109375" style="173" customWidth="1"/>
    <col min="15" max="15" width="5" style="173" customWidth="1"/>
    <col min="16" max="16384" width="9.140625" style="173"/>
  </cols>
  <sheetData>
    <row r="1" spans="1:13" ht="16.5" customHeight="1" thickBot="1" x14ac:dyDescent="0.25">
      <c r="B1" s="274" t="s">
        <v>123</v>
      </c>
      <c r="E1" s="275" t="s">
        <v>124</v>
      </c>
      <c r="K1" s="173" t="s">
        <v>123</v>
      </c>
    </row>
    <row r="2" spans="1:13" ht="12.75" thickBot="1" x14ac:dyDescent="0.25">
      <c r="B2" s="174" t="s">
        <v>125</v>
      </c>
      <c r="C2" s="175" t="s">
        <v>33</v>
      </c>
      <c r="D2" s="175" t="s">
        <v>42</v>
      </c>
      <c r="E2" s="176" t="s">
        <v>126</v>
      </c>
      <c r="F2" s="176" t="s">
        <v>127</v>
      </c>
      <c r="G2" s="176" t="s">
        <v>128</v>
      </c>
      <c r="H2" s="175" t="s">
        <v>129</v>
      </c>
      <c r="I2" s="177" t="s">
        <v>130</v>
      </c>
      <c r="K2" s="174" t="s">
        <v>131</v>
      </c>
      <c r="L2" s="175" t="s">
        <v>132</v>
      </c>
      <c r="M2" s="177" t="s">
        <v>133</v>
      </c>
    </row>
    <row r="3" spans="1:13" x14ac:dyDescent="0.2">
      <c r="A3" s="178"/>
      <c r="B3" s="179">
        <v>33238</v>
      </c>
      <c r="C3" s="180">
        <v>6.5</v>
      </c>
      <c r="D3" s="181"/>
      <c r="E3" s="182"/>
      <c r="F3" s="182"/>
      <c r="G3" s="182"/>
      <c r="H3" s="183"/>
      <c r="I3" s="184"/>
      <c r="K3" s="179">
        <v>32904</v>
      </c>
      <c r="L3" s="180">
        <v>0.3</v>
      </c>
      <c r="M3" s="185"/>
    </row>
    <row r="4" spans="1:13" x14ac:dyDescent="0.2">
      <c r="A4" s="178"/>
      <c r="B4" s="186">
        <v>33603</v>
      </c>
      <c r="C4" s="187">
        <v>12.2</v>
      </c>
      <c r="D4" s="188"/>
      <c r="E4" s="189"/>
      <c r="F4" s="189"/>
      <c r="G4" s="189"/>
      <c r="H4" s="190"/>
      <c r="I4" s="191"/>
      <c r="K4" s="186">
        <v>33269</v>
      </c>
      <c r="L4" s="187">
        <v>6.6</v>
      </c>
      <c r="M4" s="192"/>
    </row>
    <row r="5" spans="1:13" x14ac:dyDescent="0.2">
      <c r="A5" s="178"/>
      <c r="B5" s="186">
        <v>33969</v>
      </c>
      <c r="C5" s="187">
        <v>14.3</v>
      </c>
      <c r="D5" s="188"/>
      <c r="E5" s="189"/>
      <c r="F5" s="189"/>
      <c r="G5" s="189"/>
      <c r="H5" s="190"/>
      <c r="I5" s="191"/>
      <c r="K5" s="186">
        <v>33634</v>
      </c>
      <c r="L5" s="187">
        <v>12.1</v>
      </c>
      <c r="M5" s="192"/>
    </row>
    <row r="6" spans="1:13" x14ac:dyDescent="0.2">
      <c r="A6" s="178"/>
      <c r="B6" s="186">
        <v>34334</v>
      </c>
      <c r="C6" s="187">
        <v>16.399999999999999</v>
      </c>
      <c r="D6" s="188"/>
      <c r="E6" s="189"/>
      <c r="F6" s="189"/>
      <c r="G6" s="189"/>
      <c r="H6" s="190"/>
      <c r="I6" s="191"/>
      <c r="K6" s="186">
        <v>34000</v>
      </c>
      <c r="L6" s="187">
        <v>14.2</v>
      </c>
      <c r="M6" s="192"/>
    </row>
    <row r="7" spans="1:13" x14ac:dyDescent="0.2">
      <c r="A7" s="178"/>
      <c r="B7" s="186">
        <v>34699</v>
      </c>
      <c r="C7" s="193">
        <v>16</v>
      </c>
      <c r="D7" s="188"/>
      <c r="E7" s="189"/>
      <c r="F7" s="189"/>
      <c r="G7" s="189"/>
      <c r="H7" s="190"/>
      <c r="I7" s="191"/>
      <c r="K7" s="194">
        <v>34365</v>
      </c>
      <c r="L7" s="187">
        <v>16.7</v>
      </c>
      <c r="M7" s="195"/>
    </row>
    <row r="8" spans="1:13" x14ac:dyDescent="0.2">
      <c r="A8" s="178"/>
      <c r="B8" s="186">
        <v>35064</v>
      </c>
      <c r="C8" s="187">
        <v>14.9</v>
      </c>
      <c r="D8" s="188"/>
      <c r="E8" s="189"/>
      <c r="F8" s="189"/>
      <c r="G8" s="189"/>
      <c r="H8" s="190"/>
      <c r="I8" s="191"/>
      <c r="K8" s="194">
        <v>34730</v>
      </c>
      <c r="L8" s="187">
        <v>16.100000000000001</v>
      </c>
      <c r="M8" s="195"/>
    </row>
    <row r="9" spans="1:13" x14ac:dyDescent="0.2">
      <c r="A9" s="178"/>
      <c r="B9" s="186">
        <v>35430</v>
      </c>
      <c r="C9" s="187">
        <v>13.2</v>
      </c>
      <c r="D9" s="188"/>
      <c r="E9" s="189"/>
      <c r="F9" s="189"/>
      <c r="G9" s="189"/>
      <c r="H9" s="190"/>
      <c r="I9" s="191"/>
      <c r="K9" s="194">
        <v>35095</v>
      </c>
      <c r="L9" s="187">
        <v>15.4</v>
      </c>
      <c r="M9" s="195"/>
    </row>
    <row r="10" spans="1:13" x14ac:dyDescent="0.2">
      <c r="A10" s="178"/>
      <c r="B10" s="186">
        <v>35795</v>
      </c>
      <c r="C10" s="187">
        <v>10.3</v>
      </c>
      <c r="D10" s="188"/>
      <c r="E10" s="189"/>
      <c r="F10" s="189"/>
      <c r="G10" s="189"/>
      <c r="H10" s="190"/>
      <c r="I10" s="191"/>
      <c r="K10" s="194">
        <v>35461</v>
      </c>
      <c r="L10" s="187">
        <v>13.1</v>
      </c>
      <c r="M10" s="195"/>
    </row>
    <row r="11" spans="1:13" x14ac:dyDescent="0.2">
      <c r="A11" s="178"/>
      <c r="B11" s="186">
        <v>36160</v>
      </c>
      <c r="C11" s="187">
        <v>10.4</v>
      </c>
      <c r="D11" s="187">
        <v>12.4</v>
      </c>
      <c r="E11" s="196">
        <v>137367</v>
      </c>
      <c r="F11" s="196">
        <v>77793</v>
      </c>
      <c r="G11" s="196">
        <f>SUM(E11-F11)</f>
        <v>59574</v>
      </c>
      <c r="H11" s="197">
        <f>SUM(F11)/E11*100</f>
        <v>56.631505383389026</v>
      </c>
      <c r="I11" s="198">
        <f t="shared" ref="I11:I27" si="0">SUM(E11-F11)/E11*100</f>
        <v>43.368494616610974</v>
      </c>
      <c r="K11" s="194">
        <v>35826</v>
      </c>
      <c r="L11" s="187">
        <v>10.7</v>
      </c>
      <c r="M11" s="195"/>
    </row>
    <row r="12" spans="1:13" x14ac:dyDescent="0.2">
      <c r="A12" s="178"/>
      <c r="B12" s="186">
        <v>36525</v>
      </c>
      <c r="C12" s="187">
        <v>13.1</v>
      </c>
      <c r="D12" s="187">
        <v>14.5</v>
      </c>
      <c r="E12" s="196">
        <v>164692</v>
      </c>
      <c r="F12" s="196">
        <v>87827</v>
      </c>
      <c r="G12" s="196">
        <f t="shared" ref="G12:G36" si="1">SUM(E12-F12)</f>
        <v>76865</v>
      </c>
      <c r="H12" s="193">
        <f t="shared" ref="H12:H27" si="2">SUM(F12)/E12*100</f>
        <v>53.328030505428316</v>
      </c>
      <c r="I12" s="198">
        <f t="shared" si="0"/>
        <v>46.671969494571684</v>
      </c>
      <c r="K12" s="194">
        <v>36191</v>
      </c>
      <c r="L12" s="187">
        <v>11.4</v>
      </c>
      <c r="M12" s="199">
        <v>13.2</v>
      </c>
    </row>
    <row r="13" spans="1:13" ht="12.75" thickBot="1" x14ac:dyDescent="0.25">
      <c r="A13" s="178"/>
      <c r="B13" s="200">
        <v>36891</v>
      </c>
      <c r="C13" s="201">
        <v>15.1</v>
      </c>
      <c r="D13" s="201">
        <v>15.9</v>
      </c>
      <c r="E13" s="202">
        <v>182168</v>
      </c>
      <c r="F13" s="203">
        <v>97270</v>
      </c>
      <c r="G13" s="203">
        <f t="shared" si="1"/>
        <v>84898</v>
      </c>
      <c r="H13" s="204">
        <f t="shared" si="2"/>
        <v>53.395766545167099</v>
      </c>
      <c r="I13" s="205">
        <f t="shared" si="0"/>
        <v>46.604233454832901</v>
      </c>
      <c r="K13" s="206">
        <v>36556</v>
      </c>
      <c r="L13" s="207">
        <v>13.7</v>
      </c>
      <c r="M13" s="208">
        <v>15.1</v>
      </c>
    </row>
    <row r="14" spans="1:13" x14ac:dyDescent="0.2">
      <c r="A14" s="178"/>
      <c r="B14" s="209">
        <v>37256</v>
      </c>
      <c r="C14" s="210">
        <v>17.5</v>
      </c>
      <c r="D14" s="210">
        <v>17.3</v>
      </c>
      <c r="E14" s="211">
        <v>195173</v>
      </c>
      <c r="F14" s="211">
        <v>100472</v>
      </c>
      <c r="G14" s="211">
        <f t="shared" si="1"/>
        <v>94701</v>
      </c>
      <c r="H14" s="212">
        <f t="shared" si="2"/>
        <v>51.478431955239714</v>
      </c>
      <c r="I14" s="213">
        <f t="shared" si="0"/>
        <v>48.521568044760286</v>
      </c>
      <c r="K14" s="214">
        <v>36922</v>
      </c>
      <c r="L14" s="180">
        <v>15.7</v>
      </c>
      <c r="M14" s="215">
        <v>16.399999999999999</v>
      </c>
    </row>
    <row r="15" spans="1:13" x14ac:dyDescent="0.2">
      <c r="A15" s="178"/>
      <c r="B15" s="216">
        <v>37621</v>
      </c>
      <c r="C15" s="217">
        <v>18</v>
      </c>
      <c r="D15" s="218">
        <v>16.899999999999999</v>
      </c>
      <c r="E15" s="219">
        <v>187519</v>
      </c>
      <c r="F15" s="220">
        <v>93772</v>
      </c>
      <c r="G15" s="220">
        <f t="shared" si="1"/>
        <v>93747</v>
      </c>
      <c r="H15" s="217">
        <f t="shared" si="2"/>
        <v>50.006665991179553</v>
      </c>
      <c r="I15" s="221">
        <f t="shared" si="0"/>
        <v>49.99333400882044</v>
      </c>
      <c r="K15" s="194">
        <v>37287</v>
      </c>
      <c r="L15" s="187">
        <v>18.100000000000001</v>
      </c>
      <c r="M15" s="199">
        <v>17.8</v>
      </c>
    </row>
    <row r="16" spans="1:13" x14ac:dyDescent="0.2">
      <c r="A16" s="178"/>
      <c r="B16" s="216">
        <v>37986</v>
      </c>
      <c r="C16" s="217">
        <v>20</v>
      </c>
      <c r="D16" s="218">
        <v>16.7</v>
      </c>
      <c r="E16" s="219">
        <v>182497</v>
      </c>
      <c r="F16" s="220">
        <v>92598</v>
      </c>
      <c r="G16" s="220">
        <f t="shared" si="1"/>
        <v>89899</v>
      </c>
      <c r="H16" s="217">
        <f t="shared" si="2"/>
        <v>50.739464210370578</v>
      </c>
      <c r="I16" s="222">
        <f t="shared" si="0"/>
        <v>49.260535789629415</v>
      </c>
      <c r="K16" s="194">
        <v>37652</v>
      </c>
      <c r="L16" s="187">
        <v>20.6</v>
      </c>
      <c r="M16" s="199">
        <v>17.3</v>
      </c>
    </row>
    <row r="17" spans="1:13" x14ac:dyDescent="0.2">
      <c r="A17" s="178"/>
      <c r="B17" s="216">
        <v>38352</v>
      </c>
      <c r="C17" s="217">
        <v>19</v>
      </c>
      <c r="D17" s="223">
        <v>19.100000000000001</v>
      </c>
      <c r="E17" s="219">
        <v>170293</v>
      </c>
      <c r="F17" s="220">
        <v>88723</v>
      </c>
      <c r="G17" s="220">
        <f t="shared" si="1"/>
        <v>81570</v>
      </c>
      <c r="H17" s="217">
        <f t="shared" si="2"/>
        <v>52.100203766449596</v>
      </c>
      <c r="I17" s="222">
        <f t="shared" si="0"/>
        <v>47.899796233550411</v>
      </c>
      <c r="K17" s="194">
        <v>38017</v>
      </c>
      <c r="L17" s="187">
        <v>20.6</v>
      </c>
      <c r="M17" s="199">
        <v>19.100000000000001</v>
      </c>
    </row>
    <row r="18" spans="1:13" x14ac:dyDescent="0.2">
      <c r="A18" s="178"/>
      <c r="B18" s="216">
        <v>38717</v>
      </c>
      <c r="C18" s="218">
        <v>17.600000000000001</v>
      </c>
      <c r="D18" s="218">
        <v>18.399999999999999</v>
      </c>
      <c r="E18" s="220">
        <v>163956</v>
      </c>
      <c r="F18" s="220">
        <v>87626</v>
      </c>
      <c r="G18" s="220">
        <f t="shared" si="1"/>
        <v>76330</v>
      </c>
      <c r="H18" s="217">
        <f t="shared" si="2"/>
        <v>53.444826660811437</v>
      </c>
      <c r="I18" s="222">
        <f t="shared" si="0"/>
        <v>46.555173339188563</v>
      </c>
      <c r="K18" s="194">
        <v>38383</v>
      </c>
      <c r="L18" s="187">
        <v>19.399999999999999</v>
      </c>
      <c r="M18" s="199">
        <v>18.5</v>
      </c>
    </row>
    <row r="19" spans="1:13" x14ac:dyDescent="0.2">
      <c r="A19" s="178"/>
      <c r="B19" s="216">
        <v>39082</v>
      </c>
      <c r="C19" s="218">
        <v>14.8</v>
      </c>
      <c r="D19" s="218">
        <v>16.399999999999999</v>
      </c>
      <c r="E19" s="220">
        <v>145246</v>
      </c>
      <c r="F19" s="220">
        <v>81490</v>
      </c>
      <c r="G19" s="220">
        <f t="shared" si="1"/>
        <v>63756</v>
      </c>
      <c r="H19" s="217">
        <f t="shared" si="2"/>
        <v>56.104815278906131</v>
      </c>
      <c r="I19" s="222">
        <f t="shared" si="0"/>
        <v>43.895184721093869</v>
      </c>
      <c r="K19" s="194">
        <v>38748</v>
      </c>
      <c r="L19" s="193">
        <v>18</v>
      </c>
      <c r="M19" s="199">
        <v>16.399999999999999</v>
      </c>
    </row>
    <row r="20" spans="1:13" x14ac:dyDescent="0.2">
      <c r="A20" s="178"/>
      <c r="B20" s="216">
        <v>39447</v>
      </c>
      <c r="C20" s="218">
        <v>11.2</v>
      </c>
      <c r="D20" s="218">
        <v>14.2</v>
      </c>
      <c r="E20" s="220">
        <v>126360</v>
      </c>
      <c r="F20" s="220">
        <v>73127</v>
      </c>
      <c r="G20" s="220">
        <f t="shared" si="1"/>
        <v>53233</v>
      </c>
      <c r="H20" s="224">
        <f t="shared" si="2"/>
        <v>57.871953149730928</v>
      </c>
      <c r="I20" s="222">
        <f t="shared" si="0"/>
        <v>42.128046850269072</v>
      </c>
      <c r="K20" s="194">
        <v>39113</v>
      </c>
      <c r="L20" s="187">
        <v>15.1</v>
      </c>
      <c r="M20" s="199">
        <v>14.2</v>
      </c>
    </row>
    <row r="21" spans="1:13" x14ac:dyDescent="0.2">
      <c r="A21" s="178"/>
      <c r="B21" s="216">
        <v>39813</v>
      </c>
      <c r="C21" s="218">
        <v>9.5</v>
      </c>
      <c r="D21" s="217">
        <v>13</v>
      </c>
      <c r="E21" s="220">
        <v>115567</v>
      </c>
      <c r="F21" s="220">
        <v>64122</v>
      </c>
      <c r="G21" s="220">
        <f t="shared" si="1"/>
        <v>51445</v>
      </c>
      <c r="H21" s="217">
        <f t="shared" si="2"/>
        <v>55.484697188643814</v>
      </c>
      <c r="I21" s="222">
        <f t="shared" si="0"/>
        <v>44.515302811356186</v>
      </c>
      <c r="K21" s="194">
        <v>39478</v>
      </c>
      <c r="L21" s="187">
        <v>11.5</v>
      </c>
      <c r="M21" s="199">
        <v>14.8</v>
      </c>
    </row>
    <row r="22" spans="1:13" x14ac:dyDescent="0.2">
      <c r="A22" s="178"/>
      <c r="B22" s="216">
        <v>40178</v>
      </c>
      <c r="C22" s="218">
        <v>12.1</v>
      </c>
      <c r="D22" s="218">
        <v>15.9</v>
      </c>
      <c r="E22" s="220">
        <v>141944</v>
      </c>
      <c r="F22" s="220">
        <v>71158</v>
      </c>
      <c r="G22" s="220">
        <f t="shared" si="1"/>
        <v>70786</v>
      </c>
      <c r="H22" s="217">
        <f t="shared" si="2"/>
        <v>50.131037592289914</v>
      </c>
      <c r="I22" s="222">
        <f t="shared" si="0"/>
        <v>49.868962407710086</v>
      </c>
      <c r="K22" s="194">
        <v>39844</v>
      </c>
      <c r="L22" s="187">
        <v>10.4</v>
      </c>
      <c r="M22" s="199">
        <v>14</v>
      </c>
    </row>
    <row r="23" spans="1:13" ht="12.75" thickBot="1" x14ac:dyDescent="0.25">
      <c r="A23" s="178"/>
      <c r="B23" s="200">
        <v>40543</v>
      </c>
      <c r="C23" s="201">
        <v>12.4</v>
      </c>
      <c r="D23" s="201">
        <v>15.4</v>
      </c>
      <c r="E23" s="203">
        <v>142263</v>
      </c>
      <c r="F23" s="203">
        <v>73359</v>
      </c>
      <c r="G23" s="203">
        <f t="shared" si="1"/>
        <v>68904</v>
      </c>
      <c r="H23" s="204">
        <f t="shared" si="2"/>
        <v>51.565762004175362</v>
      </c>
      <c r="I23" s="205">
        <f t="shared" si="0"/>
        <v>48.434237995824638</v>
      </c>
      <c r="K23" s="206">
        <v>40209</v>
      </c>
      <c r="L23" s="207">
        <v>12.9</v>
      </c>
      <c r="M23" s="208">
        <v>16.7</v>
      </c>
    </row>
    <row r="24" spans="1:13" x14ac:dyDescent="0.2">
      <c r="A24" s="178"/>
      <c r="B24" s="179">
        <v>40908</v>
      </c>
      <c r="C24" s="180">
        <v>12.5</v>
      </c>
      <c r="D24" s="180">
        <v>15.5</v>
      </c>
      <c r="E24" s="225">
        <v>146208</v>
      </c>
      <c r="F24" s="225">
        <v>77403</v>
      </c>
      <c r="G24" s="225">
        <f t="shared" si="1"/>
        <v>68805</v>
      </c>
      <c r="H24" s="226">
        <f t="shared" si="2"/>
        <v>52.940331582403154</v>
      </c>
      <c r="I24" s="227">
        <f t="shared" si="0"/>
        <v>47.059668417596853</v>
      </c>
      <c r="K24" s="214">
        <v>40574</v>
      </c>
      <c r="L24" s="180">
        <v>13.1</v>
      </c>
      <c r="M24" s="215">
        <v>16</v>
      </c>
    </row>
    <row r="25" spans="1:13" x14ac:dyDescent="0.2">
      <c r="A25" s="178"/>
      <c r="B25" s="186">
        <v>41274</v>
      </c>
      <c r="C25" s="187">
        <v>13.4</v>
      </c>
      <c r="D25" s="228">
        <v>16.399999999999999</v>
      </c>
      <c r="E25" s="229">
        <v>153807</v>
      </c>
      <c r="F25" s="229">
        <v>77880</v>
      </c>
      <c r="G25" s="229">
        <f t="shared" si="1"/>
        <v>75927</v>
      </c>
      <c r="H25" s="193">
        <f t="shared" si="2"/>
        <v>50.634886578634266</v>
      </c>
      <c r="I25" s="198">
        <f t="shared" si="0"/>
        <v>49.365113421365734</v>
      </c>
      <c r="K25" s="194">
        <v>40939</v>
      </c>
      <c r="L25" s="187">
        <v>13.2</v>
      </c>
      <c r="M25" s="199">
        <v>16.2</v>
      </c>
    </row>
    <row r="26" spans="1:13" x14ac:dyDescent="0.2">
      <c r="A26" s="178"/>
      <c r="B26" s="186">
        <v>41639</v>
      </c>
      <c r="C26" s="187">
        <v>13.4</v>
      </c>
      <c r="D26" s="187">
        <v>16.3</v>
      </c>
      <c r="E26" s="229">
        <v>154216</v>
      </c>
      <c r="F26" s="196">
        <v>77415</v>
      </c>
      <c r="G26" s="196">
        <f t="shared" si="1"/>
        <v>76801</v>
      </c>
      <c r="H26" s="193">
        <f t="shared" si="2"/>
        <v>50.19907143227681</v>
      </c>
      <c r="I26" s="230">
        <f t="shared" si="0"/>
        <v>49.800928567723197</v>
      </c>
      <c r="K26" s="194">
        <v>41305</v>
      </c>
      <c r="L26" s="187">
        <v>14.2</v>
      </c>
      <c r="M26" s="199">
        <v>16.3</v>
      </c>
    </row>
    <row r="27" spans="1:13" x14ac:dyDescent="0.2">
      <c r="A27" s="178"/>
      <c r="B27" s="231">
        <v>42004</v>
      </c>
      <c r="C27" s="232">
        <v>11.4</v>
      </c>
      <c r="D27" s="232">
        <v>14.6</v>
      </c>
      <c r="E27" s="233">
        <v>137932</v>
      </c>
      <c r="F27" s="233">
        <v>70305</v>
      </c>
      <c r="G27" s="233">
        <f t="shared" si="1"/>
        <v>67627</v>
      </c>
      <c r="H27" s="234">
        <f t="shared" si="2"/>
        <v>50.970768204622566</v>
      </c>
      <c r="I27" s="235">
        <f t="shared" si="0"/>
        <v>49.029231795377434</v>
      </c>
      <c r="K27" s="236">
        <v>41670</v>
      </c>
      <c r="L27" s="232">
        <v>13.9</v>
      </c>
      <c r="M27" s="237">
        <v>14.8</v>
      </c>
    </row>
    <row r="28" spans="1:13" x14ac:dyDescent="0.2">
      <c r="A28" s="178"/>
      <c r="B28" s="186">
        <v>42369</v>
      </c>
      <c r="C28" s="187">
        <v>9.6999999999999993</v>
      </c>
      <c r="D28" s="187">
        <v>13.2</v>
      </c>
      <c r="E28" s="220">
        <v>123514</v>
      </c>
      <c r="F28" s="220">
        <v>63579</v>
      </c>
      <c r="G28" s="220">
        <f t="shared" si="1"/>
        <v>59935</v>
      </c>
      <c r="H28" s="238">
        <f>SUM(F28)/E28*100</f>
        <v>51.475136421782139</v>
      </c>
      <c r="I28" s="239">
        <f>SUM(E28-F28)/E28*100</f>
        <v>48.524863578217854</v>
      </c>
      <c r="K28" s="194">
        <v>42035</v>
      </c>
      <c r="L28" s="193">
        <v>12</v>
      </c>
      <c r="M28" s="199">
        <v>15.2</v>
      </c>
    </row>
    <row r="29" spans="1:13" x14ac:dyDescent="0.2">
      <c r="A29" s="178"/>
      <c r="B29" s="186">
        <v>42735</v>
      </c>
      <c r="C29" s="187">
        <v>8.1999999999999993</v>
      </c>
      <c r="D29" s="187">
        <v>11.5</v>
      </c>
      <c r="E29" s="220">
        <v>107567</v>
      </c>
      <c r="F29" s="220">
        <v>56384</v>
      </c>
      <c r="G29" s="220">
        <f>SUM(E29-F29)</f>
        <v>51183</v>
      </c>
      <c r="H29" s="238">
        <f>SUM(F29)/E29*100</f>
        <v>52.417563007241995</v>
      </c>
      <c r="I29" s="239">
        <f t="shared" ref="I29:I36" si="3">SUM(E29-F29)/E29*100</f>
        <v>47.582436992758005</v>
      </c>
      <c r="K29" s="186">
        <v>42400</v>
      </c>
      <c r="L29" s="193">
        <v>8.3000000000000007</v>
      </c>
      <c r="M29" s="199">
        <v>11.6</v>
      </c>
    </row>
    <row r="30" spans="1:13" x14ac:dyDescent="0.2">
      <c r="A30" s="178"/>
      <c r="B30" s="186">
        <v>43100</v>
      </c>
      <c r="C30" s="187">
        <v>6.6</v>
      </c>
      <c r="D30" s="187">
        <v>9.6</v>
      </c>
      <c r="E30" s="220">
        <v>90972</v>
      </c>
      <c r="F30" s="220">
        <v>48619</v>
      </c>
      <c r="G30" s="220">
        <f t="shared" si="1"/>
        <v>42353</v>
      </c>
      <c r="H30" s="238">
        <f t="shared" ref="H30:H36" si="4">SUM(F30)/E30*100</f>
        <v>53.443916809567781</v>
      </c>
      <c r="I30" s="239">
        <f t="shared" si="3"/>
        <v>46.556083190432226</v>
      </c>
      <c r="K30" s="186">
        <v>42766</v>
      </c>
      <c r="L30" s="187">
        <v>8.5</v>
      </c>
      <c r="M30" s="199">
        <v>11.8</v>
      </c>
    </row>
    <row r="31" spans="1:13" x14ac:dyDescent="0.2">
      <c r="A31" s="178"/>
      <c r="B31" s="186">
        <v>43465</v>
      </c>
      <c r="C31" s="187">
        <v>5.8</v>
      </c>
      <c r="D31" s="187">
        <v>8.6999999999999993</v>
      </c>
      <c r="E31" s="220">
        <v>82933</v>
      </c>
      <c r="F31" s="220">
        <v>45024</v>
      </c>
      <c r="G31" s="220">
        <f t="shared" si="1"/>
        <v>37909</v>
      </c>
      <c r="H31" s="240">
        <f t="shared" si="4"/>
        <v>54.289607273341133</v>
      </c>
      <c r="I31" s="239">
        <f t="shared" si="3"/>
        <v>45.710392726658874</v>
      </c>
      <c r="K31" s="186">
        <v>43131</v>
      </c>
      <c r="L31" s="187">
        <v>6.8</v>
      </c>
      <c r="M31" s="199">
        <v>9.9</v>
      </c>
    </row>
    <row r="32" spans="1:13" x14ac:dyDescent="0.2">
      <c r="A32" s="178"/>
      <c r="B32" s="186">
        <v>43830</v>
      </c>
      <c r="C32" s="187">
        <v>5.2</v>
      </c>
      <c r="D32" s="187">
        <v>7.9</v>
      </c>
      <c r="E32" s="220">
        <v>75455</v>
      </c>
      <c r="F32" s="220">
        <v>40284</v>
      </c>
      <c r="G32" s="220">
        <f t="shared" si="1"/>
        <v>35171</v>
      </c>
      <c r="H32" s="238">
        <f t="shared" si="4"/>
        <v>53.388112119806507</v>
      </c>
      <c r="I32" s="239">
        <f t="shared" si="3"/>
        <v>46.611887880193493</v>
      </c>
      <c r="K32" s="186">
        <v>43496</v>
      </c>
      <c r="L32" s="187">
        <v>6.1</v>
      </c>
      <c r="M32" s="198">
        <v>9</v>
      </c>
    </row>
    <row r="33" spans="1:13" ht="12.75" thickBot="1" x14ac:dyDescent="0.25">
      <c r="A33" s="178"/>
      <c r="B33" s="241">
        <v>44196</v>
      </c>
      <c r="C33" s="207">
        <v>6.3</v>
      </c>
      <c r="D33" s="207">
        <v>9.1</v>
      </c>
      <c r="E33" s="202">
        <v>87326</v>
      </c>
      <c r="F33" s="202">
        <v>46036</v>
      </c>
      <c r="G33" s="202">
        <f t="shared" si="1"/>
        <v>41290</v>
      </c>
      <c r="H33" s="242">
        <f t="shared" si="4"/>
        <v>52.717403751460047</v>
      </c>
      <c r="I33" s="243">
        <f t="shared" si="3"/>
        <v>47.282596248539953</v>
      </c>
      <c r="K33" s="241">
        <v>43861</v>
      </c>
      <c r="L33" s="207">
        <v>5.5</v>
      </c>
      <c r="M33" s="208">
        <v>8.3000000000000007</v>
      </c>
    </row>
    <row r="34" spans="1:13" x14ac:dyDescent="0.2">
      <c r="A34" s="178"/>
      <c r="B34" s="244">
        <v>44561</v>
      </c>
      <c r="C34" s="245">
        <v>5.8</v>
      </c>
      <c r="D34" s="246">
        <v>9.9</v>
      </c>
      <c r="E34" s="247">
        <v>77291</v>
      </c>
      <c r="F34" s="247">
        <v>41090</v>
      </c>
      <c r="G34" s="247">
        <f t="shared" si="1"/>
        <v>36201</v>
      </c>
      <c r="H34" s="248">
        <f t="shared" si="4"/>
        <v>53.16272269733863</v>
      </c>
      <c r="I34" s="249">
        <f t="shared" si="3"/>
        <v>46.83727730266137</v>
      </c>
      <c r="K34" s="244">
        <v>44227</v>
      </c>
      <c r="L34" s="245">
        <v>6.5</v>
      </c>
      <c r="M34" s="250">
        <v>9.5</v>
      </c>
    </row>
    <row r="35" spans="1:13" x14ac:dyDescent="0.2">
      <c r="A35" s="178"/>
      <c r="B35" s="186">
        <v>44926</v>
      </c>
      <c r="C35" s="187">
        <v>5.2</v>
      </c>
      <c r="D35" s="187">
        <v>8.8000000000000007</v>
      </c>
      <c r="E35" s="220">
        <v>69046</v>
      </c>
      <c r="F35" s="220">
        <v>36088</v>
      </c>
      <c r="G35" s="220">
        <f t="shared" si="1"/>
        <v>32958</v>
      </c>
      <c r="H35" s="238">
        <f t="shared" si="4"/>
        <v>52.266604872114243</v>
      </c>
      <c r="I35" s="251">
        <f t="shared" si="3"/>
        <v>47.733395127885757</v>
      </c>
      <c r="K35" s="186">
        <v>44592</v>
      </c>
      <c r="L35" s="187">
        <v>5.9</v>
      </c>
      <c r="M35" s="199">
        <v>10.1</v>
      </c>
    </row>
    <row r="36" spans="1:13" ht="12.75" thickBot="1" x14ac:dyDescent="0.25">
      <c r="A36" s="178"/>
      <c r="B36" s="241">
        <v>45291</v>
      </c>
      <c r="C36" s="252">
        <v>5.0999999999999996</v>
      </c>
      <c r="D36" s="207">
        <v>8.6</v>
      </c>
      <c r="E36" s="203">
        <v>67653</v>
      </c>
      <c r="F36" s="203">
        <v>41090</v>
      </c>
      <c r="G36" s="203">
        <f t="shared" si="1"/>
        <v>26563</v>
      </c>
      <c r="H36" s="242">
        <f t="shared" si="4"/>
        <v>60.736404889657514</v>
      </c>
      <c r="I36" s="243">
        <f t="shared" si="3"/>
        <v>39.263595110342479</v>
      </c>
      <c r="K36" s="241">
        <v>44957</v>
      </c>
      <c r="L36" s="207">
        <v>5.5</v>
      </c>
      <c r="M36" s="208">
        <v>9.1999999999999993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  <pageSetUpPr fitToPage="1"/>
  </sheetPr>
  <dimension ref="B1:M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hidden="1" customWidth="1"/>
    <col min="10" max="10" width="15.140625" style="3" hidden="1" customWidth="1"/>
    <col min="11" max="11" width="10.85546875" style="3" hidden="1" customWidth="1"/>
    <col min="12" max="12" width="10.42578125" style="3" hidden="1" customWidth="1"/>
    <col min="13" max="13" width="5.5703125" style="3" hidden="1" customWidth="1"/>
    <col min="14" max="16384" width="9.140625" style="3"/>
  </cols>
  <sheetData>
    <row r="1" spans="2:12" ht="17.25" customHeight="1" x14ac:dyDescent="0.2">
      <c r="B1" s="2" t="s">
        <v>79</v>
      </c>
      <c r="I1" s="3" t="s">
        <v>83</v>
      </c>
    </row>
    <row r="2" spans="2:12" ht="75" customHeight="1" x14ac:dyDescent="0.2">
      <c r="B2" s="55" t="s">
        <v>27</v>
      </c>
      <c r="C2" s="56" t="s">
        <v>141</v>
      </c>
      <c r="D2" s="57" t="s">
        <v>134</v>
      </c>
      <c r="E2" s="56" t="s">
        <v>28</v>
      </c>
      <c r="F2" s="57" t="s">
        <v>142</v>
      </c>
      <c r="G2" s="56" t="s">
        <v>26</v>
      </c>
      <c r="I2" s="55" t="s">
        <v>27</v>
      </c>
      <c r="J2" s="56" t="str">
        <f>T('1bezr.'!C2)</f>
        <v>liczba bezrobotnych ogółem stan na 29-02-'24 r.</v>
      </c>
      <c r="K2" s="56" t="s">
        <v>77</v>
      </c>
      <c r="L2" s="56" t="s">
        <v>92</v>
      </c>
    </row>
    <row r="3" spans="2:12" x14ac:dyDescent="0.2">
      <c r="B3" s="5" t="s">
        <v>0</v>
      </c>
      <c r="C3" s="6">
        <v>512</v>
      </c>
      <c r="D3" s="61">
        <v>563</v>
      </c>
      <c r="E3" s="6">
        <f t="shared" ref="E3:E26" si="0">SUM(C3)-D3</f>
        <v>-51</v>
      </c>
      <c r="F3" s="61">
        <v>600</v>
      </c>
      <c r="G3" s="6">
        <f t="shared" ref="G3:G26" si="1">SUM(C3)-F3</f>
        <v>-88</v>
      </c>
      <c r="I3" s="5" t="s">
        <v>0</v>
      </c>
      <c r="J3" s="6">
        <f>SUM('1bezr.'!C3)</f>
        <v>1085</v>
      </c>
      <c r="K3" s="6">
        <f>SUM(C3)</f>
        <v>512</v>
      </c>
      <c r="L3" s="24">
        <f t="shared" ref="L3:L28" si="2">SUM(K3)/J3*100</f>
        <v>47.1889400921659</v>
      </c>
    </row>
    <row r="4" spans="2:12" x14ac:dyDescent="0.2">
      <c r="B4" s="5" t="s">
        <v>1</v>
      </c>
      <c r="C4" s="6">
        <v>1953</v>
      </c>
      <c r="D4" s="61">
        <v>1965</v>
      </c>
      <c r="E4" s="6">
        <f t="shared" si="0"/>
        <v>-12</v>
      </c>
      <c r="F4" s="61">
        <v>2090</v>
      </c>
      <c r="G4" s="6">
        <f t="shared" si="1"/>
        <v>-137</v>
      </c>
      <c r="I4" s="5" t="s">
        <v>1</v>
      </c>
      <c r="J4" s="6">
        <f>SUM('1bezr.'!C4)</f>
        <v>3957</v>
      </c>
      <c r="K4" s="6">
        <f t="shared" ref="K4:K27" si="3">SUM(C4)</f>
        <v>1953</v>
      </c>
      <c r="L4" s="24">
        <f t="shared" si="2"/>
        <v>49.355572403335863</v>
      </c>
    </row>
    <row r="5" spans="2:12" x14ac:dyDescent="0.2">
      <c r="B5" s="5" t="s">
        <v>2</v>
      </c>
      <c r="C5" s="6">
        <v>1533</v>
      </c>
      <c r="D5" s="61">
        <v>1547</v>
      </c>
      <c r="E5" s="6">
        <f t="shared" si="0"/>
        <v>-14</v>
      </c>
      <c r="F5" s="61">
        <v>1568</v>
      </c>
      <c r="G5" s="6">
        <f t="shared" si="1"/>
        <v>-35</v>
      </c>
      <c r="I5" s="5" t="s">
        <v>2</v>
      </c>
      <c r="J5" s="6">
        <f>SUM('1bezr.'!C5)</f>
        <v>2617</v>
      </c>
      <c r="K5" s="6">
        <f t="shared" si="3"/>
        <v>1533</v>
      </c>
      <c r="L5" s="24">
        <f t="shared" si="2"/>
        <v>58.578525028658767</v>
      </c>
    </row>
    <row r="6" spans="2:12" x14ac:dyDescent="0.2">
      <c r="B6" s="5" t="s">
        <v>3</v>
      </c>
      <c r="C6" s="6">
        <v>2336</v>
      </c>
      <c r="D6" s="61">
        <v>2377</v>
      </c>
      <c r="E6" s="6">
        <f t="shared" si="0"/>
        <v>-41</v>
      </c>
      <c r="F6" s="61">
        <v>2548</v>
      </c>
      <c r="G6" s="6">
        <f t="shared" si="1"/>
        <v>-212</v>
      </c>
      <c r="I6" s="5" t="s">
        <v>3</v>
      </c>
      <c r="J6" s="6">
        <f>SUM('1bezr.'!C6)</f>
        <v>4569</v>
      </c>
      <c r="K6" s="6">
        <f t="shared" si="3"/>
        <v>2336</v>
      </c>
      <c r="L6" s="24">
        <f t="shared" si="2"/>
        <v>51.127161304442978</v>
      </c>
    </row>
    <row r="7" spans="2:12" x14ac:dyDescent="0.2">
      <c r="B7" s="5" t="s">
        <v>4</v>
      </c>
      <c r="C7" s="6">
        <v>2939</v>
      </c>
      <c r="D7" s="61">
        <v>3029</v>
      </c>
      <c r="E7" s="6">
        <f t="shared" si="0"/>
        <v>-90</v>
      </c>
      <c r="F7" s="61">
        <v>2896</v>
      </c>
      <c r="G7" s="6">
        <f t="shared" si="1"/>
        <v>43</v>
      </c>
      <c r="I7" s="5" t="s">
        <v>4</v>
      </c>
      <c r="J7" s="6">
        <f>SUM('1bezr.'!C7)</f>
        <v>5253</v>
      </c>
      <c r="K7" s="6">
        <f t="shared" si="3"/>
        <v>2939</v>
      </c>
      <c r="L7" s="24">
        <f t="shared" si="2"/>
        <v>55.948981534361323</v>
      </c>
    </row>
    <row r="8" spans="2:12" x14ac:dyDescent="0.2">
      <c r="B8" s="5" t="s">
        <v>5</v>
      </c>
      <c r="C8" s="6">
        <v>795</v>
      </c>
      <c r="D8" s="61">
        <v>765</v>
      </c>
      <c r="E8" s="6">
        <f t="shared" si="0"/>
        <v>30</v>
      </c>
      <c r="F8" s="61">
        <v>861</v>
      </c>
      <c r="G8" s="6">
        <f t="shared" si="1"/>
        <v>-66</v>
      </c>
      <c r="I8" s="5" t="s">
        <v>5</v>
      </c>
      <c r="J8" s="6">
        <f>SUM('1bezr.'!C8)</f>
        <v>1620</v>
      </c>
      <c r="K8" s="6">
        <f t="shared" si="3"/>
        <v>795</v>
      </c>
      <c r="L8" s="24">
        <f>SUM(K8)/J8*100</f>
        <v>49.074074074074076</v>
      </c>
    </row>
    <row r="9" spans="2:12" x14ac:dyDescent="0.2">
      <c r="B9" s="9" t="s">
        <v>6</v>
      </c>
      <c r="C9" s="6">
        <v>1315</v>
      </c>
      <c r="D9" s="61">
        <v>1301</v>
      </c>
      <c r="E9" s="6">
        <f t="shared" si="0"/>
        <v>14</v>
      </c>
      <c r="F9" s="61">
        <v>1207</v>
      </c>
      <c r="G9" s="6">
        <f t="shared" si="1"/>
        <v>108</v>
      </c>
      <c r="I9" s="9" t="s">
        <v>6</v>
      </c>
      <c r="J9" s="6">
        <f>SUM('1bezr.'!C9)</f>
        <v>2504</v>
      </c>
      <c r="K9" s="6">
        <f t="shared" si="3"/>
        <v>1315</v>
      </c>
      <c r="L9" s="24">
        <f t="shared" si="2"/>
        <v>52.515974440894567</v>
      </c>
    </row>
    <row r="10" spans="2:12" x14ac:dyDescent="0.2">
      <c r="B10" s="5" t="s">
        <v>7</v>
      </c>
      <c r="C10" s="6">
        <v>834</v>
      </c>
      <c r="D10" s="61">
        <v>826</v>
      </c>
      <c r="E10" s="6">
        <f t="shared" si="0"/>
        <v>8</v>
      </c>
      <c r="F10" s="61">
        <v>856</v>
      </c>
      <c r="G10" s="6">
        <f t="shared" si="1"/>
        <v>-22</v>
      </c>
      <c r="I10" s="5" t="s">
        <v>7</v>
      </c>
      <c r="J10" s="6">
        <f>SUM('1bezr.'!C10)</f>
        <v>1788</v>
      </c>
      <c r="K10" s="6">
        <f t="shared" si="3"/>
        <v>834</v>
      </c>
      <c r="L10" s="24">
        <f t="shared" si="2"/>
        <v>46.644295302013425</v>
      </c>
    </row>
    <row r="11" spans="2:12" x14ac:dyDescent="0.2">
      <c r="B11" s="5" t="s">
        <v>8</v>
      </c>
      <c r="C11" s="6">
        <v>1698</v>
      </c>
      <c r="D11" s="61">
        <v>1694</v>
      </c>
      <c r="E11" s="6">
        <f t="shared" si="0"/>
        <v>4</v>
      </c>
      <c r="F11" s="61">
        <v>1707</v>
      </c>
      <c r="G11" s="6">
        <f t="shared" si="1"/>
        <v>-9</v>
      </c>
      <c r="I11" s="5" t="s">
        <v>8</v>
      </c>
      <c r="J11" s="6">
        <f>SUM('1bezr.'!C11)</f>
        <v>3279</v>
      </c>
      <c r="K11" s="6">
        <f t="shared" si="3"/>
        <v>1698</v>
      </c>
      <c r="L11" s="24">
        <f t="shared" si="2"/>
        <v>51.784080512351323</v>
      </c>
    </row>
    <row r="12" spans="2:12" x14ac:dyDescent="0.2">
      <c r="B12" s="5" t="s">
        <v>9</v>
      </c>
      <c r="C12" s="6">
        <v>868</v>
      </c>
      <c r="D12" s="61">
        <v>889</v>
      </c>
      <c r="E12" s="6">
        <f t="shared" si="0"/>
        <v>-21</v>
      </c>
      <c r="F12" s="61">
        <v>891</v>
      </c>
      <c r="G12" s="6">
        <f t="shared" si="1"/>
        <v>-23</v>
      </c>
      <c r="I12" s="5" t="s">
        <v>9</v>
      </c>
      <c r="J12" s="6">
        <f>SUM('1bezr.'!C12)</f>
        <v>1903</v>
      </c>
      <c r="K12" s="6">
        <f t="shared" si="3"/>
        <v>868</v>
      </c>
      <c r="L12" s="24">
        <f t="shared" si="2"/>
        <v>45.612191276931163</v>
      </c>
    </row>
    <row r="13" spans="2:12" x14ac:dyDescent="0.2">
      <c r="B13" s="5" t="s">
        <v>10</v>
      </c>
      <c r="C13" s="6">
        <v>1252</v>
      </c>
      <c r="D13" s="61">
        <v>1298</v>
      </c>
      <c r="E13" s="6">
        <f t="shared" si="0"/>
        <v>-46</v>
      </c>
      <c r="F13" s="61">
        <v>1361</v>
      </c>
      <c r="G13" s="6">
        <f t="shared" si="1"/>
        <v>-109</v>
      </c>
      <c r="I13" s="5" t="s">
        <v>10</v>
      </c>
      <c r="J13" s="6">
        <f>SUM('1bezr.'!C13)</f>
        <v>2679</v>
      </c>
      <c r="K13" s="6">
        <f t="shared" si="3"/>
        <v>1252</v>
      </c>
      <c r="L13" s="24">
        <f t="shared" si="2"/>
        <v>46.733855916386716</v>
      </c>
    </row>
    <row r="14" spans="2:12" x14ac:dyDescent="0.2">
      <c r="B14" s="5" t="s">
        <v>11</v>
      </c>
      <c r="C14" s="6">
        <v>1467</v>
      </c>
      <c r="D14" s="61">
        <v>1456</v>
      </c>
      <c r="E14" s="6">
        <f t="shared" si="0"/>
        <v>11</v>
      </c>
      <c r="F14" s="61">
        <v>1425</v>
      </c>
      <c r="G14" s="6">
        <f t="shared" si="1"/>
        <v>42</v>
      </c>
      <c r="I14" s="5" t="s">
        <v>11</v>
      </c>
      <c r="J14" s="6">
        <f>SUM('1bezr.'!C14)</f>
        <v>3037</v>
      </c>
      <c r="K14" s="6">
        <f t="shared" si="3"/>
        <v>1467</v>
      </c>
      <c r="L14" s="24">
        <f t="shared" si="2"/>
        <v>48.304247612775761</v>
      </c>
    </row>
    <row r="15" spans="2:12" x14ac:dyDescent="0.2">
      <c r="B15" s="5" t="s">
        <v>12</v>
      </c>
      <c r="C15" s="6">
        <v>1594</v>
      </c>
      <c r="D15" s="61">
        <v>1660</v>
      </c>
      <c r="E15" s="6">
        <f t="shared" si="0"/>
        <v>-66</v>
      </c>
      <c r="F15" s="61">
        <v>1718</v>
      </c>
      <c r="G15" s="6">
        <f t="shared" si="1"/>
        <v>-124</v>
      </c>
      <c r="I15" s="5" t="s">
        <v>12</v>
      </c>
      <c r="J15" s="6">
        <f>SUM('1bezr.'!C15)</f>
        <v>3129</v>
      </c>
      <c r="K15" s="6">
        <f t="shared" si="3"/>
        <v>1594</v>
      </c>
      <c r="L15" s="24">
        <f t="shared" si="2"/>
        <v>50.942793224672421</v>
      </c>
    </row>
    <row r="16" spans="2:12" x14ac:dyDescent="0.2">
      <c r="B16" s="5" t="s">
        <v>13</v>
      </c>
      <c r="C16" s="6">
        <v>1554</v>
      </c>
      <c r="D16" s="61">
        <v>1538</v>
      </c>
      <c r="E16" s="6">
        <f t="shared" si="0"/>
        <v>16</v>
      </c>
      <c r="F16" s="61">
        <v>1631</v>
      </c>
      <c r="G16" s="6">
        <f t="shared" si="1"/>
        <v>-77</v>
      </c>
      <c r="I16" s="5" t="s">
        <v>13</v>
      </c>
      <c r="J16" s="6">
        <f>SUM('1bezr.'!C16)</f>
        <v>3107</v>
      </c>
      <c r="K16" s="6">
        <f t="shared" si="3"/>
        <v>1554</v>
      </c>
      <c r="L16" s="24">
        <f t="shared" si="2"/>
        <v>50.01609269391696</v>
      </c>
    </row>
    <row r="17" spans="2:12" x14ac:dyDescent="0.2">
      <c r="B17" s="5" t="s">
        <v>14</v>
      </c>
      <c r="C17" s="6">
        <v>1802</v>
      </c>
      <c r="D17" s="61">
        <v>1862</v>
      </c>
      <c r="E17" s="6">
        <f t="shared" si="0"/>
        <v>-60</v>
      </c>
      <c r="F17" s="61">
        <v>1953</v>
      </c>
      <c r="G17" s="6">
        <f t="shared" si="1"/>
        <v>-151</v>
      </c>
      <c r="I17" s="5" t="s">
        <v>14</v>
      </c>
      <c r="J17" s="6">
        <f>SUM('1bezr.'!C17)</f>
        <v>3401</v>
      </c>
      <c r="K17" s="6">
        <f t="shared" si="3"/>
        <v>1802</v>
      </c>
      <c r="L17" s="24">
        <f t="shared" si="2"/>
        <v>52.984416348132903</v>
      </c>
    </row>
    <row r="18" spans="2:12" x14ac:dyDescent="0.2">
      <c r="B18" s="5" t="s">
        <v>15</v>
      </c>
      <c r="C18" s="6">
        <v>1381</v>
      </c>
      <c r="D18" s="61">
        <v>1413</v>
      </c>
      <c r="E18" s="6">
        <f t="shared" si="0"/>
        <v>-32</v>
      </c>
      <c r="F18" s="61">
        <v>1509</v>
      </c>
      <c r="G18" s="6">
        <f t="shared" si="1"/>
        <v>-128</v>
      </c>
      <c r="I18" s="5" t="s">
        <v>15</v>
      </c>
      <c r="J18" s="6">
        <f>SUM('1bezr.'!C18)</f>
        <v>2677</v>
      </c>
      <c r="K18" s="6">
        <f t="shared" si="3"/>
        <v>1381</v>
      </c>
      <c r="L18" s="24">
        <f t="shared" si="2"/>
        <v>51.587598057527082</v>
      </c>
    </row>
    <row r="19" spans="2:12" x14ac:dyDescent="0.2">
      <c r="B19" s="5" t="s">
        <v>16</v>
      </c>
      <c r="C19" s="6">
        <v>2288</v>
      </c>
      <c r="D19" s="61">
        <v>2292</v>
      </c>
      <c r="E19" s="6">
        <f t="shared" si="0"/>
        <v>-4</v>
      </c>
      <c r="F19" s="61">
        <v>2571</v>
      </c>
      <c r="G19" s="6">
        <f t="shared" si="1"/>
        <v>-283</v>
      </c>
      <c r="I19" s="5" t="s">
        <v>16</v>
      </c>
      <c r="J19" s="6">
        <f>SUM('1bezr.'!C19)</f>
        <v>4809</v>
      </c>
      <c r="K19" s="6">
        <f t="shared" si="3"/>
        <v>2288</v>
      </c>
      <c r="L19" s="24">
        <f t="shared" si="2"/>
        <v>47.577458931170725</v>
      </c>
    </row>
    <row r="20" spans="2:12" x14ac:dyDescent="0.2">
      <c r="B20" s="5" t="s">
        <v>17</v>
      </c>
      <c r="C20" s="6">
        <v>1423</v>
      </c>
      <c r="D20" s="61">
        <v>1393</v>
      </c>
      <c r="E20" s="6">
        <f t="shared" si="0"/>
        <v>30</v>
      </c>
      <c r="F20" s="61">
        <v>1422</v>
      </c>
      <c r="G20" s="6">
        <f t="shared" si="1"/>
        <v>1</v>
      </c>
      <c r="I20" s="5" t="s">
        <v>17</v>
      </c>
      <c r="J20" s="6">
        <f>SUM('1bezr.'!C20)</f>
        <v>2908</v>
      </c>
      <c r="K20" s="6">
        <f t="shared" si="3"/>
        <v>1423</v>
      </c>
      <c r="L20" s="24">
        <f t="shared" si="2"/>
        <v>48.933975240715263</v>
      </c>
    </row>
    <row r="21" spans="2:12" x14ac:dyDescent="0.2">
      <c r="B21" s="5" t="s">
        <v>18</v>
      </c>
      <c r="C21" s="6">
        <v>1110</v>
      </c>
      <c r="D21" s="61">
        <v>1106</v>
      </c>
      <c r="E21" s="6">
        <f t="shared" si="0"/>
        <v>4</v>
      </c>
      <c r="F21" s="61">
        <v>1089</v>
      </c>
      <c r="G21" s="6">
        <f t="shared" si="1"/>
        <v>21</v>
      </c>
      <c r="I21" s="5" t="s">
        <v>18</v>
      </c>
      <c r="J21" s="6">
        <f>SUM('1bezr.'!C21)</f>
        <v>2079</v>
      </c>
      <c r="K21" s="6">
        <f t="shared" si="3"/>
        <v>1110</v>
      </c>
      <c r="L21" s="24">
        <f t="shared" si="2"/>
        <v>53.39105339105339</v>
      </c>
    </row>
    <row r="22" spans="2:12" x14ac:dyDescent="0.2">
      <c r="B22" s="5" t="s">
        <v>19</v>
      </c>
      <c r="C22" s="6">
        <v>1597</v>
      </c>
      <c r="D22" s="61">
        <v>1646</v>
      </c>
      <c r="E22" s="6">
        <f t="shared" si="0"/>
        <v>-49</v>
      </c>
      <c r="F22" s="61">
        <v>1749</v>
      </c>
      <c r="G22" s="6">
        <f t="shared" si="1"/>
        <v>-152</v>
      </c>
      <c r="I22" s="5" t="s">
        <v>19</v>
      </c>
      <c r="J22" s="6">
        <f>SUM('1bezr.'!C22)</f>
        <v>3236</v>
      </c>
      <c r="K22" s="6">
        <f t="shared" si="3"/>
        <v>1597</v>
      </c>
      <c r="L22" s="24">
        <f t="shared" si="2"/>
        <v>49.351050679851674</v>
      </c>
    </row>
    <row r="23" spans="2:12" x14ac:dyDescent="0.2">
      <c r="B23" s="5" t="s">
        <v>20</v>
      </c>
      <c r="C23" s="6">
        <v>704</v>
      </c>
      <c r="D23" s="61">
        <v>689</v>
      </c>
      <c r="E23" s="6">
        <f t="shared" si="0"/>
        <v>15</v>
      </c>
      <c r="F23" s="61">
        <v>737</v>
      </c>
      <c r="G23" s="6">
        <f t="shared" si="1"/>
        <v>-33</v>
      </c>
      <c r="I23" s="5" t="s">
        <v>20</v>
      </c>
      <c r="J23" s="6">
        <f>SUM('1bezr.'!C23)</f>
        <v>1359</v>
      </c>
      <c r="K23" s="6">
        <f t="shared" si="3"/>
        <v>704</v>
      </c>
      <c r="L23" s="24">
        <f t="shared" si="2"/>
        <v>51.802796173657107</v>
      </c>
    </row>
    <row r="24" spans="2:12" x14ac:dyDescent="0.2">
      <c r="B24" s="5" t="s">
        <v>21</v>
      </c>
      <c r="C24" s="6">
        <v>489</v>
      </c>
      <c r="D24" s="61">
        <v>474</v>
      </c>
      <c r="E24" s="6">
        <f t="shared" si="0"/>
        <v>15</v>
      </c>
      <c r="F24" s="61">
        <v>436</v>
      </c>
      <c r="G24" s="6">
        <f t="shared" si="1"/>
        <v>53</v>
      </c>
      <c r="I24" s="5" t="s">
        <v>21</v>
      </c>
      <c r="J24" s="6">
        <f>SUM('1bezr.'!C24)</f>
        <v>906</v>
      </c>
      <c r="K24" s="6">
        <f t="shared" si="3"/>
        <v>489</v>
      </c>
      <c r="L24" s="24">
        <f t="shared" si="2"/>
        <v>53.973509933774835</v>
      </c>
    </row>
    <row r="25" spans="2:12" x14ac:dyDescent="0.2">
      <c r="B25" s="5" t="s">
        <v>22</v>
      </c>
      <c r="C25" s="6">
        <v>1225</v>
      </c>
      <c r="D25" s="61">
        <v>1242</v>
      </c>
      <c r="E25" s="6">
        <f t="shared" si="0"/>
        <v>-17</v>
      </c>
      <c r="F25" s="61">
        <v>1229</v>
      </c>
      <c r="G25" s="6">
        <f t="shared" si="1"/>
        <v>-4</v>
      </c>
      <c r="I25" s="5" t="s">
        <v>22</v>
      </c>
      <c r="J25" s="6">
        <f>SUM('1bezr.'!C25)</f>
        <v>2506</v>
      </c>
      <c r="K25" s="6">
        <f t="shared" si="3"/>
        <v>1225</v>
      </c>
      <c r="L25" s="24">
        <f t="shared" si="2"/>
        <v>48.882681564245814</v>
      </c>
    </row>
    <row r="26" spans="2:12" x14ac:dyDescent="0.2">
      <c r="B26" s="5" t="s">
        <v>23</v>
      </c>
      <c r="C26" s="6">
        <v>2594</v>
      </c>
      <c r="D26" s="61">
        <v>2564</v>
      </c>
      <c r="E26" s="6">
        <f t="shared" si="0"/>
        <v>30</v>
      </c>
      <c r="F26" s="61">
        <v>2829</v>
      </c>
      <c r="G26" s="6">
        <f t="shared" si="1"/>
        <v>-235</v>
      </c>
      <c r="I26" s="5" t="s">
        <v>23</v>
      </c>
      <c r="J26" s="6">
        <f>SUM('1bezr.'!C26)</f>
        <v>5182</v>
      </c>
      <c r="K26" s="6">
        <f t="shared" si="3"/>
        <v>2594</v>
      </c>
      <c r="L26" s="24">
        <f t="shared" si="2"/>
        <v>50.057892705519102</v>
      </c>
    </row>
    <row r="27" spans="2:12" x14ac:dyDescent="0.2">
      <c r="B27" s="5" t="s">
        <v>24</v>
      </c>
      <c r="C27" s="6">
        <v>588</v>
      </c>
      <c r="D27" s="61">
        <v>594</v>
      </c>
      <c r="E27" s="6">
        <f>SUM(C27)-D27</f>
        <v>-6</v>
      </c>
      <c r="F27" s="61">
        <v>609</v>
      </c>
      <c r="G27" s="6">
        <f>SUM(C27)-F27</f>
        <v>-21</v>
      </c>
      <c r="I27" s="5" t="s">
        <v>24</v>
      </c>
      <c r="J27" s="6">
        <f>SUM('1bezr.'!C27)</f>
        <v>1161</v>
      </c>
      <c r="K27" s="6">
        <f t="shared" si="3"/>
        <v>588</v>
      </c>
      <c r="L27" s="24">
        <f t="shared" si="2"/>
        <v>50.645994832041339</v>
      </c>
    </row>
    <row r="28" spans="2:12" ht="15" x14ac:dyDescent="0.25">
      <c r="B28" s="58" t="s">
        <v>25</v>
      </c>
      <c r="C28" s="59">
        <f>SUM(C3:C27)</f>
        <v>35851</v>
      </c>
      <c r="D28" s="60">
        <f>SUM(D3:D27)</f>
        <v>36183</v>
      </c>
      <c r="E28" s="59">
        <f>SUM(E3:E27)</f>
        <v>-332</v>
      </c>
      <c r="F28" s="60">
        <f>SUM(F3:F27)</f>
        <v>37492</v>
      </c>
      <c r="G28" s="59">
        <f>SUM(G3:G27)</f>
        <v>-1641</v>
      </c>
      <c r="I28" s="58" t="s">
        <v>25</v>
      </c>
      <c r="J28" s="59">
        <f>SUM(J3:J27)</f>
        <v>70751</v>
      </c>
      <c r="K28" s="59">
        <f>SUM(K3:K27)</f>
        <v>35851</v>
      </c>
      <c r="L28" s="64">
        <f t="shared" si="2"/>
        <v>50.672075306356092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79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T('2kob.'!B2)</f>
        <v>powiaty</v>
      </c>
      <c r="D3" s="55" t="str">
        <f>T('2kob.'!C2)</f>
        <v>liczba bezrobotnych kobiet stan na 29-02-'24 r.</v>
      </c>
      <c r="E3" s="55" t="str">
        <f>T('2kob.'!D2)</f>
        <v>liczba bezrobotnych kobiet stan na 31-01-'24 r.</v>
      </c>
      <c r="F3" s="55" t="str">
        <f>T('2kob.'!E2)</f>
        <v>wzrost/spadek do poprzedniego  miesiąca</v>
      </c>
      <c r="G3" s="55" t="str">
        <f>T('2kob.'!F2)</f>
        <v>liczba bezrobotnych kobiet stan na 28-02-'23 r.</v>
      </c>
      <c r="H3" s="55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5">
        <f>INDEX('2kob.'!B3:G28,MATCH(1,B4:B29,0),2)</f>
        <v>489</v>
      </c>
      <c r="E4" s="61">
        <f>INDEX('2kob.'!B3:G28,MATCH(1,B4:B29,0),3)</f>
        <v>474</v>
      </c>
      <c r="F4" s="6">
        <f>INDEX('2kob.'!B3:G28,MATCH(1,B4:B29,0),4)</f>
        <v>15</v>
      </c>
      <c r="G4" s="61">
        <f>INDEX('2kob.'!B3:G28,MATCH(1,B4:B29,0),5)</f>
        <v>436</v>
      </c>
      <c r="H4" s="6">
        <f>INDEX('2kob.'!B3:G28,MATCH(1,B4:B29,0),6)</f>
        <v>53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512</v>
      </c>
      <c r="E5" s="61">
        <f>INDEX('2kob.'!B3:G28,MATCH(2,B4:B29,0),3)</f>
        <v>563</v>
      </c>
      <c r="F5" s="6">
        <f>INDEX('2kob.'!B3:G28,MATCH(2,B4:B29,0),4)</f>
        <v>-51</v>
      </c>
      <c r="G5" s="61">
        <f>INDEX('2kob.'!B3:G28,MATCH(2,B4:B29,0),5)</f>
        <v>600</v>
      </c>
      <c r="H5" s="6">
        <f>INDEX('2kob.'!B3:G28,MATCH(2,B4:B29,0),6)</f>
        <v>-88</v>
      </c>
    </row>
    <row r="6" spans="2:8" x14ac:dyDescent="0.2">
      <c r="B6" s="6">
        <f>RANK('2kob.'!C5,'2kob.'!$C$3:'2kob.'!$C$28,1)+COUNTIF('2kob.'!$C$3:'2kob.'!C5,'2kob.'!C5)-1</f>
        <v>15</v>
      </c>
      <c r="C6" s="5" t="str">
        <f>INDEX('2kob.'!B3:G28,MATCH(3,B4:B29,0),1)</f>
        <v>Tarnobrzeg</v>
      </c>
      <c r="D6" s="6">
        <f>INDEX('2kob.'!B3:G28,MATCH(3,B4:B29,0),2)</f>
        <v>588</v>
      </c>
      <c r="E6" s="61">
        <f>INDEX('2kob.'!B3:G28,MATCH(3,B4:B29,0),3)</f>
        <v>594</v>
      </c>
      <c r="F6" s="6">
        <f>INDEX('2kob.'!B3:G28,MATCH(3,B4:B29,0),4)</f>
        <v>-6</v>
      </c>
      <c r="G6" s="61">
        <f>INDEX('2kob.'!B3:G28,MATCH(3,B4:B29,0),5)</f>
        <v>609</v>
      </c>
      <c r="H6" s="6">
        <f>INDEX('2kob.'!B3:G28,MATCH(3,B4:B29,0),6)</f>
        <v>-21</v>
      </c>
    </row>
    <row r="7" spans="2:8" x14ac:dyDescent="0.2">
      <c r="B7" s="6">
        <f>RANK('2kob.'!C6,'2kob.'!$C$3:'2kob.'!$C$28,1)+COUNTIF('2kob.'!$C$3:'2kob.'!C6,'2kob.'!C6)-1</f>
        <v>23</v>
      </c>
      <c r="C7" s="5" t="str">
        <f>INDEX('2kob.'!B3:G28,MATCH(4,B4:B29,0),1)</f>
        <v xml:space="preserve">tarnobrzeski </v>
      </c>
      <c r="D7" s="6">
        <f>INDEX('2kob.'!B3:G28,MATCH(4,B4:B29,0),2)</f>
        <v>704</v>
      </c>
      <c r="E7" s="61">
        <f>INDEX('2kob.'!B3:G28,MATCH(4,B4:B29,0),3)</f>
        <v>689</v>
      </c>
      <c r="F7" s="6">
        <f>INDEX('2kob.'!B3:G28,MATCH(4,B4:B29,0),4)</f>
        <v>15</v>
      </c>
      <c r="G7" s="61">
        <f>INDEX('2kob.'!B3:G28,MATCH(4,B4:B29,0),5)</f>
        <v>737</v>
      </c>
      <c r="H7" s="6">
        <f>INDEX('2kob.'!B3:G28,MATCH(4,B4:B29,0),6)</f>
        <v>-33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kolbuszowski</v>
      </c>
      <c r="D8" s="6">
        <f>INDEX('2kob.'!B3:G28,MATCH(5,B4:B29,0),2)</f>
        <v>795</v>
      </c>
      <c r="E8" s="61">
        <f>INDEX('2kob.'!B3:G28,MATCH(5,B4:B29,0),3)</f>
        <v>765</v>
      </c>
      <c r="F8" s="6">
        <f>INDEX('2kob.'!B3:G28,MATCH(5,B4:B29,0),4)</f>
        <v>30</v>
      </c>
      <c r="G8" s="61">
        <f>INDEX('2kob.'!B3:G28,MATCH(5,B4:B29,0),5)</f>
        <v>861</v>
      </c>
      <c r="H8" s="6">
        <f>INDEX('2kob.'!B3:G28,MATCH(5,B4:B29,0),6)</f>
        <v>-66</v>
      </c>
    </row>
    <row r="9" spans="2:8" x14ac:dyDescent="0.2">
      <c r="B9" s="6">
        <f>RANK('2kob.'!C8,'2kob.'!$C$3:'2kob.'!$C$28,1)+COUNTIF('2kob.'!$C$3:'2kob.'!C8,'2kob.'!C8)-1</f>
        <v>5</v>
      </c>
      <c r="C9" s="5" t="str">
        <f>INDEX('2kob.'!B3:G28,MATCH(6,B4:B29,0),1)</f>
        <v>leski</v>
      </c>
      <c r="D9" s="6">
        <f>INDEX('2kob.'!B3:G28,MATCH(6,B4:B29,0),2)</f>
        <v>834</v>
      </c>
      <c r="E9" s="61">
        <f>INDEX('2kob.'!B3:G28,MATCH(6,B4:B29,0),3)</f>
        <v>826</v>
      </c>
      <c r="F9" s="6">
        <f>INDEX('2kob.'!B3:G28,MATCH(6,B4:B29,0),4)</f>
        <v>8</v>
      </c>
      <c r="G9" s="61">
        <f>INDEX('2kob.'!B3:G28,MATCH(6,B4:B29,0),5)</f>
        <v>856</v>
      </c>
      <c r="H9" s="6">
        <f>INDEX('2kob.'!B3:G28,MATCH(6,B4:B29,0),6)</f>
        <v>-22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lubaczowski</v>
      </c>
      <c r="D10" s="6">
        <f>INDEX('2kob.'!B3:G28,MATCH(7,B4:B29,0),2)</f>
        <v>868</v>
      </c>
      <c r="E10" s="61">
        <f>INDEX('2kob.'!B3:G28,MATCH(7,B4:B29,0),3)</f>
        <v>889</v>
      </c>
      <c r="F10" s="6">
        <f>INDEX('2kob.'!B3:G28,MATCH(7,B4:B29,0),4)</f>
        <v>-21</v>
      </c>
      <c r="G10" s="61">
        <f>INDEX('2kob.'!B3:G28,MATCH(7,B4:B29,0),5)</f>
        <v>891</v>
      </c>
      <c r="H10" s="6">
        <f>INDEX('2kob.'!B3:G28,MATCH(7,B4:B29,0),6)</f>
        <v>-23</v>
      </c>
    </row>
    <row r="11" spans="2:8" x14ac:dyDescent="0.2">
      <c r="B11" s="6">
        <f>RANK('2kob.'!C10,'2kob.'!$C$3:'2kob.'!$C$28,1)+COUNTIF('2kob.'!$C$3:'2kob.'!C10,'2kob.'!C10)-1</f>
        <v>6</v>
      </c>
      <c r="C11" s="5" t="str">
        <f>INDEX('2kob.'!B3:G28,MATCH(8,B4:B29,0),1)</f>
        <v>stalowowolski</v>
      </c>
      <c r="D11" s="6">
        <f>INDEX('2kob.'!B3:G28,MATCH(8,B4:B29,0),2)</f>
        <v>1110</v>
      </c>
      <c r="E11" s="61">
        <f>INDEX('2kob.'!B3:G28,MATCH(8,B4:B29,0),3)</f>
        <v>1106</v>
      </c>
      <c r="F11" s="6">
        <f>INDEX('2kob.'!B3:G28,MATCH(8,B4:B29,0),4)</f>
        <v>4</v>
      </c>
      <c r="G11" s="61">
        <f>INDEX('2kob.'!B3:G28,MATCH(8,B4:B29,0),5)</f>
        <v>1089</v>
      </c>
      <c r="H11" s="6">
        <f>INDEX('2kob.'!B3:G28,MATCH(8,B4:B29,0),6)</f>
        <v>21</v>
      </c>
    </row>
    <row r="12" spans="2:8" x14ac:dyDescent="0.2">
      <c r="B12" s="6">
        <f>RANK('2kob.'!C11,'2kob.'!$C$3:'2kob.'!$C$28,1)+COUNTIF('2kob.'!$C$3:'2kob.'!C11,'2kob.'!C11)-1</f>
        <v>19</v>
      </c>
      <c r="C12" s="5" t="str">
        <f>INDEX('2kob.'!B3:G28,MATCH(9,B4:B29,0),1)</f>
        <v>Przemyśl</v>
      </c>
      <c r="D12" s="6">
        <f>INDEX('2kob.'!B3:G28,MATCH(9,B4:B29,0),2)</f>
        <v>1225</v>
      </c>
      <c r="E12" s="61">
        <f>INDEX('2kob.'!B3:G28,MATCH(9,B4:B29,0),3)</f>
        <v>1242</v>
      </c>
      <c r="F12" s="6">
        <f>INDEX('2kob.'!B3:G28,MATCH(9,B4:B29,0),4)</f>
        <v>-17</v>
      </c>
      <c r="G12" s="61">
        <f>INDEX('2kob.'!B3:G28,MATCH(9,B4:B29,0),5)</f>
        <v>1229</v>
      </c>
      <c r="H12" s="6">
        <f>INDEX('2kob.'!B3:G28,MATCH(9,B4:B29,0),6)</f>
        <v>-4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łańcucki</v>
      </c>
      <c r="D13" s="6">
        <f>INDEX('2kob.'!B3:G28,MATCH(10,B4:B29,0),2)</f>
        <v>1252</v>
      </c>
      <c r="E13" s="61">
        <f>INDEX('2kob.'!B3:G28,MATCH(10,B4:B29,0),3)</f>
        <v>1298</v>
      </c>
      <c r="F13" s="6">
        <f>INDEX('2kob.'!B3:G28,MATCH(10,B4:B29,0),4)</f>
        <v>-46</v>
      </c>
      <c r="G13" s="61">
        <f>INDEX('2kob.'!B3:G28,MATCH(10,B4:B29,0),5)</f>
        <v>1361</v>
      </c>
      <c r="H13" s="6">
        <f>INDEX('2kob.'!B3:G28,MATCH(10,B4:B29,0),6)</f>
        <v>-109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1315</v>
      </c>
      <c r="E14" s="61">
        <f>INDEX('2kob.'!B3:G28,MATCH(11,B4:B29,0),3)</f>
        <v>1301</v>
      </c>
      <c r="F14" s="6">
        <f>INDEX('2kob.'!B3:G28,MATCH(11,B4:B29,0),4)</f>
        <v>14</v>
      </c>
      <c r="G14" s="61">
        <f>INDEX('2kob.'!B3:G28,MATCH(11,B4:B29,0),5)</f>
        <v>1207</v>
      </c>
      <c r="H14" s="6">
        <f>INDEX('2kob.'!B3:G28,MATCH(11,B4:B29,0),6)</f>
        <v>108</v>
      </c>
    </row>
    <row r="15" spans="2:8" x14ac:dyDescent="0.2">
      <c r="B15" s="6">
        <f>RANK('2kob.'!C14,'2kob.'!$C$3:'2kob.'!$C$28,1)+COUNTIF('2kob.'!$C$3:'2kob.'!C14,'2kob.'!C14)-1</f>
        <v>14</v>
      </c>
      <c r="C15" s="5" t="str">
        <f>INDEX('2kob.'!B3:G28,MATCH(12,B4:B29,0),1)</f>
        <v>ropczycko-sędziszowski</v>
      </c>
      <c r="D15" s="6">
        <f>INDEX('2kob.'!B3:G28,MATCH(12,B4:B29,0),2)</f>
        <v>1381</v>
      </c>
      <c r="E15" s="61">
        <f>INDEX('2kob.'!B3:G28,MATCH(12,B4:B29,0),3)</f>
        <v>1413</v>
      </c>
      <c r="F15" s="6">
        <f>INDEX('2kob.'!B3:G28,MATCH(12,B4:B29,0),4)</f>
        <v>-32</v>
      </c>
      <c r="G15" s="61">
        <f>INDEX('2kob.'!B3:G28,MATCH(12,B4:B29,0),5)</f>
        <v>1509</v>
      </c>
      <c r="H15" s="6">
        <f>INDEX('2kob.'!B3:G28,MATCH(12,B4:B29,0),6)</f>
        <v>-128</v>
      </c>
    </row>
    <row r="16" spans="2:8" x14ac:dyDescent="0.2">
      <c r="B16" s="6">
        <f>RANK('2kob.'!C15,'2kob.'!$C$3:'2kob.'!$C$28,1)+COUNTIF('2kob.'!$C$3:'2kob.'!C15,'2kob.'!C15)-1</f>
        <v>17</v>
      </c>
      <c r="C16" s="5" t="str">
        <f>INDEX('2kob.'!B3:G28,MATCH(13,B4:B29,0),1)</f>
        <v>sanocki</v>
      </c>
      <c r="D16" s="6">
        <f>INDEX('2kob.'!B3:G28,MATCH(13,B4:B29,0),2)</f>
        <v>1423</v>
      </c>
      <c r="E16" s="61">
        <f>INDEX('2kob.'!B3:G28,MATCH(13,B4:B29,0),3)</f>
        <v>1393</v>
      </c>
      <c r="F16" s="6">
        <f>INDEX('2kob.'!B3:G28,MATCH(13,B4:B29,0),4)</f>
        <v>30</v>
      </c>
      <c r="G16" s="61">
        <f>INDEX('2kob.'!B3:G28,MATCH(13,B4:B29,0),5)</f>
        <v>1422</v>
      </c>
      <c r="H16" s="6">
        <f>INDEX('2kob.'!B3:G28,MATCH(13,B4:B29,0),6)</f>
        <v>1</v>
      </c>
    </row>
    <row r="17" spans="2:8" x14ac:dyDescent="0.2">
      <c r="B17" s="6">
        <f>RANK('2kob.'!C16,'2kob.'!$C$3:'2kob.'!$C$28,1)+COUNTIF('2kob.'!$C$3:'2kob.'!C16,'2kob.'!C16)-1</f>
        <v>16</v>
      </c>
      <c r="C17" s="5" t="str">
        <f>INDEX('2kob.'!B3:G28,MATCH(14,B4:B29,0),1)</f>
        <v>mielecki</v>
      </c>
      <c r="D17" s="6">
        <f>INDEX('2kob.'!B3:G28,MATCH(14,B4:B29,0),2)</f>
        <v>1467</v>
      </c>
      <c r="E17" s="61">
        <f>INDEX('2kob.'!B3:G28,MATCH(14,B4:B29,0),3)</f>
        <v>1456</v>
      </c>
      <c r="F17" s="6">
        <f>INDEX('2kob.'!B3:G28,MATCH(14,B4:B29,0),4)</f>
        <v>11</v>
      </c>
      <c r="G17" s="61">
        <f>INDEX('2kob.'!B3:G28,MATCH(14,B4:B29,0),5)</f>
        <v>1425</v>
      </c>
      <c r="H17" s="6">
        <f>INDEX('2kob.'!B3:G28,MATCH(14,B4:B29,0),6)</f>
        <v>42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dębicki</v>
      </c>
      <c r="D18" s="6">
        <f>INDEX('2kob.'!B3:G28,MATCH(15,B4:B29,0),2)</f>
        <v>1533</v>
      </c>
      <c r="E18" s="61">
        <f>INDEX('2kob.'!B3:G28,MATCH(15,B4:B29,0),3)</f>
        <v>1547</v>
      </c>
      <c r="F18" s="6">
        <f>INDEX('2kob.'!B3:G28,MATCH(15,B4:B29,0),4)</f>
        <v>-14</v>
      </c>
      <c r="G18" s="61">
        <f>INDEX('2kob.'!B3:G28,MATCH(15,B4:B29,0),5)</f>
        <v>1568</v>
      </c>
      <c r="H18" s="6">
        <f>INDEX('2kob.'!B3:G28,MATCH(15,B4:B29,0),6)</f>
        <v>-35</v>
      </c>
    </row>
    <row r="19" spans="2:8" x14ac:dyDescent="0.2">
      <c r="B19" s="6">
        <f>RANK('2kob.'!C18,'2kob.'!$C$3:'2kob.'!$C$28,1)+COUNTIF('2kob.'!$C$3:'2kob.'!C18,'2kob.'!C18)-1</f>
        <v>12</v>
      </c>
      <c r="C19" s="5" t="str">
        <f>INDEX('2kob.'!B3:G28,MATCH(16,B4:B29,0),1)</f>
        <v>przemyski</v>
      </c>
      <c r="D19" s="6">
        <f>INDEX('2kob.'!B3:G28,MATCH(16,B4:B29,0),2)</f>
        <v>1554</v>
      </c>
      <c r="E19" s="61">
        <f>INDEX('2kob.'!B3:G28,MATCH(16,B4:B29,0),3)</f>
        <v>1538</v>
      </c>
      <c r="F19" s="6">
        <f>INDEX('2kob.'!B3:G28,MATCH(16,B4:B29,0),4)</f>
        <v>16</v>
      </c>
      <c r="G19" s="61">
        <f>INDEX('2kob.'!B3:G28,MATCH(16,B4:B29,0),5)</f>
        <v>1631</v>
      </c>
      <c r="H19" s="6">
        <f>INDEX('2kob.'!B3:G28,MATCH(16,B4:B29,0),6)</f>
        <v>-77</v>
      </c>
    </row>
    <row r="20" spans="2:8" x14ac:dyDescent="0.2">
      <c r="B20" s="6">
        <f>RANK('2kob.'!C19,'2kob.'!$C$3:'2kob.'!$C$28,1)+COUNTIF('2kob.'!$C$3:'2kob.'!C19,'2kob.'!C19)-1</f>
        <v>22</v>
      </c>
      <c r="C20" s="5" t="str">
        <f>INDEX('2kob.'!B3:G28,MATCH(17,B4:B29,0),1)</f>
        <v>niżański</v>
      </c>
      <c r="D20" s="6">
        <f>INDEX('2kob.'!B3:G28,MATCH(17,B4:B29,0),2)</f>
        <v>1594</v>
      </c>
      <c r="E20" s="61">
        <f>INDEX('2kob.'!B3:G28,MATCH(17,B4:B29,0),3)</f>
        <v>1660</v>
      </c>
      <c r="F20" s="6">
        <f>INDEX('2kob.'!B3:G28,MATCH(17,B4:B29,0),4)</f>
        <v>-66</v>
      </c>
      <c r="G20" s="61">
        <f>INDEX('2kob.'!B3:G28,MATCH(17,B4:B29,0),5)</f>
        <v>1718</v>
      </c>
      <c r="H20" s="6">
        <f>INDEX('2kob.'!B3:G28,MATCH(17,B4:B29,0),6)</f>
        <v>-124</v>
      </c>
    </row>
    <row r="21" spans="2:8" x14ac:dyDescent="0.2">
      <c r="B21" s="6">
        <f>RANK('2kob.'!C20,'2kob.'!$C$3:'2kob.'!$C$28,1)+COUNTIF('2kob.'!$C$3:'2kob.'!C20,'2kob.'!C20)-1</f>
        <v>13</v>
      </c>
      <c r="C21" s="5" t="str">
        <f>INDEX('2kob.'!B3:G28,MATCH(18,B4:B29,0),1)</f>
        <v>strzyżowski</v>
      </c>
      <c r="D21" s="6">
        <f>INDEX('2kob.'!B3:G28,MATCH(18,B4:B29,0),2)</f>
        <v>1597</v>
      </c>
      <c r="E21" s="61">
        <f>INDEX('2kob.'!B3:G28,MATCH(18,B4:B29,0),3)</f>
        <v>1646</v>
      </c>
      <c r="F21" s="6">
        <f>INDEX('2kob.'!B3:G28,MATCH(18,B4:B29,0),4)</f>
        <v>-49</v>
      </c>
      <c r="G21" s="61">
        <f>INDEX('2kob.'!B3:G28,MATCH(18,B4:B29,0),5)</f>
        <v>1749</v>
      </c>
      <c r="H21" s="6">
        <f>INDEX('2kob.'!B3:G28,MATCH(18,B4:B29,0),6)</f>
        <v>-152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leżajski</v>
      </c>
      <c r="D22" s="6">
        <f>INDEX('2kob.'!B3:G28,MATCH(19,B4:B29,0),2)</f>
        <v>1698</v>
      </c>
      <c r="E22" s="61">
        <f>INDEX('2kob.'!B3:G28,MATCH(19,B4:B29,0),3)</f>
        <v>1694</v>
      </c>
      <c r="F22" s="6">
        <f>INDEX('2kob.'!B3:G28,MATCH(19,B4:B29,0),4)</f>
        <v>4</v>
      </c>
      <c r="G22" s="61">
        <f>INDEX('2kob.'!B3:G28,MATCH(19,B4:B29,0),5)</f>
        <v>1707</v>
      </c>
      <c r="H22" s="6">
        <f>INDEX('2kob.'!B3:G28,MATCH(19,B4:B29,0),6)</f>
        <v>-9</v>
      </c>
    </row>
    <row r="23" spans="2:8" x14ac:dyDescent="0.2">
      <c r="B23" s="6">
        <f>RANK('2kob.'!C22,'2kob.'!$C$3:'2kob.'!$C$28,1)+COUNTIF('2kob.'!$C$3:'2kob.'!C22,'2kob.'!C22)-1</f>
        <v>18</v>
      </c>
      <c r="C23" s="5" t="str">
        <f>INDEX('2kob.'!B3:G28,MATCH(20,B4:B29,0),1)</f>
        <v>przeworski</v>
      </c>
      <c r="D23" s="6">
        <f>INDEX('2kob.'!B3:G28,MATCH(20,B4:B29,0),2)</f>
        <v>1802</v>
      </c>
      <c r="E23" s="61">
        <f>INDEX('2kob.'!B3:G28,MATCH(20,B4:B29,0),3)</f>
        <v>1862</v>
      </c>
      <c r="F23" s="6">
        <f>INDEX('2kob.'!B3:G28,MATCH(20,B4:B29,0),4)</f>
        <v>-60</v>
      </c>
      <c r="G23" s="61">
        <f>INDEX('2kob.'!B3:G28,MATCH(20,B4:B29,0),5)</f>
        <v>1953</v>
      </c>
      <c r="H23" s="6">
        <f>INDEX('2kob.'!B3:G28,MATCH(20,B4:B29,0),6)</f>
        <v>-151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1953</v>
      </c>
      <c r="E24" s="61">
        <f>INDEX('2kob.'!B3:G28,MATCH(21,B4:B29,0),3)</f>
        <v>1965</v>
      </c>
      <c r="F24" s="6">
        <f>INDEX('2kob.'!B3:G28,MATCH(21,B4:B29,0),4)</f>
        <v>-12</v>
      </c>
      <c r="G24" s="61">
        <f>INDEX('2kob.'!B3:G28,MATCH(21,B4:B29,0),5)</f>
        <v>2090</v>
      </c>
      <c r="H24" s="6">
        <f>INDEX('2kob.'!B3:G28,MATCH(21,B4:B29,0),6)</f>
        <v>-137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rzeszowski</v>
      </c>
      <c r="D25" s="6">
        <f>INDEX('2kob.'!B3:G28,MATCH(22,B4:B29,0),2)</f>
        <v>2288</v>
      </c>
      <c r="E25" s="61">
        <f>INDEX('2kob.'!B3:G28,MATCH(22,B4:B29,0),3)</f>
        <v>2292</v>
      </c>
      <c r="F25" s="6">
        <f>INDEX('2kob.'!B3:G28,MATCH(22,B4:B29,0),4)</f>
        <v>-4</v>
      </c>
      <c r="G25" s="61">
        <f>INDEX('2kob.'!B3:G28,MATCH(22,B4:B29,0),5)</f>
        <v>2571</v>
      </c>
      <c r="H25" s="6">
        <f>INDEX('2kob.'!B3:G28,MATCH(22,B4:B29,0),6)</f>
        <v>-283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jarosławski</v>
      </c>
      <c r="D26" s="6">
        <f>INDEX('2kob.'!B3:G28,MATCH(23,B4:B29,0),2)</f>
        <v>2336</v>
      </c>
      <c r="E26" s="61">
        <f>INDEX('2kob.'!B3:G28,MATCH(23,B4:B29,0),3)</f>
        <v>2377</v>
      </c>
      <c r="F26" s="6">
        <f>INDEX('2kob.'!B3:G28,MATCH(23,B4:B29,0),4)</f>
        <v>-41</v>
      </c>
      <c r="G26" s="61">
        <f>INDEX('2kob.'!B3:G28,MATCH(23,B4:B29,0),5)</f>
        <v>2548</v>
      </c>
      <c r="H26" s="6">
        <f>INDEX('2kob.'!B3:G28,MATCH(23,B4:B29,0),6)</f>
        <v>-212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2594</v>
      </c>
      <c r="E27" s="61">
        <f>INDEX('2kob.'!B3:G28,MATCH(24,B4:B29,0),3)</f>
        <v>2564</v>
      </c>
      <c r="F27" s="6">
        <f>INDEX('2kob.'!B3:G28,MATCH(24,B4:B29,0),4)</f>
        <v>30</v>
      </c>
      <c r="G27" s="61">
        <f>INDEX('2kob.'!B3:G28,MATCH(24,B4:B29,0),5)</f>
        <v>2829</v>
      </c>
      <c r="H27" s="6">
        <f>INDEX('2kob.'!B3:G28,MATCH(24,B4:B29,0),6)</f>
        <v>-235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2939</v>
      </c>
      <c r="E28" s="61">
        <f>INDEX('2kob.'!B3:G28,MATCH(25,B4:B29,0),3)</f>
        <v>3029</v>
      </c>
      <c r="F28" s="6">
        <f>INDEX('2kob.'!B3:G28,MATCH(25,B4:B29,0),4)</f>
        <v>-90</v>
      </c>
      <c r="G28" s="61">
        <f>INDEX('2kob.'!B3:G28,MATCH(25,B4:B29,0),5)</f>
        <v>2896</v>
      </c>
      <c r="H28" s="6">
        <f>INDEX('2kob.'!B3:G28,MATCH(25,B4:B29,0),6)</f>
        <v>43</v>
      </c>
    </row>
    <row r="29" spans="2:8" ht="15" x14ac:dyDescent="0.25">
      <c r="B29" s="59">
        <f>RANK('2kob.'!C28,'2kob.'!$C$3:'2kob.'!$C$28,1)+COUNTIF('2kob.'!$C$3:'2kob.'!C28,'2kob.'!C28)-1</f>
        <v>26</v>
      </c>
      <c r="C29" s="58" t="str">
        <f>INDEX('2kob.'!B3:G28,MATCH(26,B4:B29,0),1)</f>
        <v>województwo</v>
      </c>
      <c r="D29" s="59">
        <f>INDEX('2kob.'!B3:G28,MATCH(26,B4:B29,0),2)</f>
        <v>35851</v>
      </c>
      <c r="E29" s="63">
        <f>INDEX('2kob.'!B3:G28,MATCH(26,B4:B29,0),3)</f>
        <v>36183</v>
      </c>
      <c r="F29" s="59">
        <f>INDEX('2kob.'!B3:G28,MATCH(26,B4:B29,0),4)</f>
        <v>-332</v>
      </c>
      <c r="G29" s="63">
        <f>INDEX('2kob.'!B3:G28,MATCH(26,B4:B29,0),5)</f>
        <v>37492</v>
      </c>
      <c r="H29" s="59">
        <f>INDEX('2kob.'!B3:G28,MATCH(26,B4:B29,0),6)</f>
        <v>-1641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  <pageSetUpPr fitToPage="1"/>
  </sheetPr>
  <dimension ref="A1:I22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3.42578125" style="3" customWidth="1"/>
    <col min="3" max="3" width="20.140625" style="3" customWidth="1"/>
    <col min="4" max="4" width="19.7109375" style="3" customWidth="1"/>
    <col min="5" max="5" width="15.28515625" style="3" customWidth="1"/>
    <col min="6" max="6" width="19" style="3" customWidth="1"/>
    <col min="7" max="7" width="14.7109375" style="3" customWidth="1"/>
    <col min="8" max="8" width="7.85546875" style="25" customWidth="1"/>
    <col min="9" max="9" width="31.85546875" style="3" hidden="1" customWidth="1"/>
    <col min="10" max="13" width="0" style="3" hidden="1" customWidth="1"/>
    <col min="14" max="16384" width="9.140625" style="3"/>
  </cols>
  <sheetData>
    <row r="1" spans="1:9" ht="15" customHeight="1" x14ac:dyDescent="0.2">
      <c r="B1" s="2" t="s">
        <v>87</v>
      </c>
    </row>
    <row r="2" spans="1:9" ht="71.25" x14ac:dyDescent="0.2">
      <c r="B2" s="65" t="s">
        <v>27</v>
      </c>
      <c r="C2" s="65" t="s">
        <v>143</v>
      </c>
      <c r="D2" s="66" t="s">
        <v>135</v>
      </c>
      <c r="E2" s="65" t="s">
        <v>80</v>
      </c>
      <c r="F2" s="66" t="s">
        <v>144</v>
      </c>
      <c r="G2" s="65" t="s">
        <v>114</v>
      </c>
    </row>
    <row r="3" spans="1:9" ht="15" x14ac:dyDescent="0.2">
      <c r="A3" s="25">
        <v>1</v>
      </c>
      <c r="B3" s="26" t="s">
        <v>33</v>
      </c>
      <c r="C3" s="259">
        <v>5.4</v>
      </c>
      <c r="D3" s="68">
        <v>5.4</v>
      </c>
      <c r="E3" s="27">
        <f>C3-D3</f>
        <v>0</v>
      </c>
      <c r="F3" s="68">
        <v>5.6</v>
      </c>
      <c r="G3" s="27">
        <f>C3-F3</f>
        <v>-0.19999999999999929</v>
      </c>
      <c r="H3" s="28"/>
    </row>
    <row r="4" spans="1:9" ht="15" x14ac:dyDescent="0.25">
      <c r="A4" s="25">
        <v>2</v>
      </c>
      <c r="B4" s="29" t="s">
        <v>34</v>
      </c>
      <c r="C4" s="254">
        <v>4.8</v>
      </c>
      <c r="D4" s="67">
        <v>4.7</v>
      </c>
      <c r="E4" s="30">
        <f t="shared" ref="E4:E19" si="0">C4-D4</f>
        <v>9.9999999999999645E-2</v>
      </c>
      <c r="F4" s="67">
        <v>4.8</v>
      </c>
      <c r="G4" s="30">
        <f t="shared" ref="G4:G19" si="1">C4-F4</f>
        <v>0</v>
      </c>
      <c r="H4" s="28"/>
      <c r="I4" s="167" t="s">
        <v>34</v>
      </c>
    </row>
    <row r="5" spans="1:9" ht="15" x14ac:dyDescent="0.25">
      <c r="A5" s="25">
        <v>3</v>
      </c>
      <c r="B5" s="29" t="s">
        <v>35</v>
      </c>
      <c r="C5" s="30">
        <v>7.5</v>
      </c>
      <c r="D5" s="67">
        <v>7.5</v>
      </c>
      <c r="E5" s="31">
        <f t="shared" si="0"/>
        <v>0</v>
      </c>
      <c r="F5" s="67">
        <v>7.8</v>
      </c>
      <c r="G5" s="30">
        <f t="shared" si="1"/>
        <v>-0.29999999999999982</v>
      </c>
      <c r="H5" s="28"/>
      <c r="I5" s="168" t="s">
        <v>35</v>
      </c>
    </row>
    <row r="6" spans="1:9" ht="15" x14ac:dyDescent="0.25">
      <c r="A6" s="25">
        <v>4</v>
      </c>
      <c r="B6" s="29" t="s">
        <v>36</v>
      </c>
      <c r="C6" s="31">
        <v>7.9</v>
      </c>
      <c r="D6" s="67">
        <v>7.9</v>
      </c>
      <c r="E6" s="30">
        <f t="shared" si="0"/>
        <v>0</v>
      </c>
      <c r="F6" s="67">
        <v>8.3000000000000007</v>
      </c>
      <c r="G6" s="30">
        <f t="shared" si="1"/>
        <v>-0.40000000000000036</v>
      </c>
      <c r="H6" s="28"/>
      <c r="I6" s="168" t="s">
        <v>36</v>
      </c>
    </row>
    <row r="7" spans="1:9" ht="15" x14ac:dyDescent="0.25">
      <c r="A7" s="25">
        <v>5</v>
      </c>
      <c r="B7" s="29" t="s">
        <v>37</v>
      </c>
      <c r="C7" s="30">
        <v>4.7</v>
      </c>
      <c r="D7" s="67">
        <v>4.7</v>
      </c>
      <c r="E7" s="30">
        <f t="shared" si="0"/>
        <v>0</v>
      </c>
      <c r="F7" s="67">
        <v>4.8</v>
      </c>
      <c r="G7" s="30">
        <f t="shared" si="1"/>
        <v>-9.9999999999999645E-2</v>
      </c>
      <c r="H7" s="28"/>
      <c r="I7" s="169" t="s">
        <v>37</v>
      </c>
    </row>
    <row r="8" spans="1:9" ht="15" x14ac:dyDescent="0.25">
      <c r="A8" s="25">
        <v>6</v>
      </c>
      <c r="B8" s="29" t="s">
        <v>38</v>
      </c>
      <c r="C8" s="30">
        <v>5.7</v>
      </c>
      <c r="D8" s="67">
        <v>5.6</v>
      </c>
      <c r="E8" s="30">
        <f t="shared" si="0"/>
        <v>0.10000000000000053</v>
      </c>
      <c r="F8" s="67">
        <v>5.8</v>
      </c>
      <c r="G8" s="30">
        <f t="shared" si="1"/>
        <v>-9.9999999999999645E-2</v>
      </c>
      <c r="H8" s="28"/>
      <c r="I8" s="167" t="s">
        <v>38</v>
      </c>
    </row>
    <row r="9" spans="1:9" ht="15" x14ac:dyDescent="0.25">
      <c r="A9" s="25">
        <v>7</v>
      </c>
      <c r="B9" s="29" t="s">
        <v>39</v>
      </c>
      <c r="C9" s="30">
        <v>4.5</v>
      </c>
      <c r="D9" s="67">
        <v>4.4000000000000004</v>
      </c>
      <c r="E9" s="30">
        <f t="shared" si="0"/>
        <v>9.9999999999999645E-2</v>
      </c>
      <c r="F9" s="67">
        <v>4.7</v>
      </c>
      <c r="G9" s="30">
        <f t="shared" si="1"/>
        <v>-0.20000000000000018</v>
      </c>
      <c r="H9" s="28"/>
      <c r="I9" s="167" t="s">
        <v>39</v>
      </c>
    </row>
    <row r="10" spans="1:9" ht="15" x14ac:dyDescent="0.25">
      <c r="A10" s="25">
        <v>8</v>
      </c>
      <c r="B10" s="29" t="s">
        <v>40</v>
      </c>
      <c r="C10" s="30">
        <v>4.3</v>
      </c>
      <c r="D10" s="67">
        <v>4.3</v>
      </c>
      <c r="E10" s="30">
        <f t="shared" si="0"/>
        <v>0</v>
      </c>
      <c r="F10" s="67">
        <v>4.5</v>
      </c>
      <c r="G10" s="30">
        <f t="shared" si="1"/>
        <v>-0.20000000000000018</v>
      </c>
      <c r="H10" s="28"/>
      <c r="I10" s="167" t="s">
        <v>40</v>
      </c>
    </row>
    <row r="11" spans="1:9" ht="15" x14ac:dyDescent="0.25">
      <c r="A11" s="25">
        <v>9</v>
      </c>
      <c r="B11" s="29" t="s">
        <v>41</v>
      </c>
      <c r="C11" s="30">
        <v>6.1</v>
      </c>
      <c r="D11" s="67">
        <v>6.2</v>
      </c>
      <c r="E11" s="30">
        <f t="shared" si="0"/>
        <v>-0.10000000000000053</v>
      </c>
      <c r="F11" s="67">
        <v>6.4</v>
      </c>
      <c r="G11" s="30">
        <f t="shared" si="1"/>
        <v>-0.30000000000000071</v>
      </c>
      <c r="H11" s="28"/>
      <c r="I11" s="167" t="s">
        <v>41</v>
      </c>
    </row>
    <row r="12" spans="1:9" ht="15" x14ac:dyDescent="0.2">
      <c r="A12" s="25">
        <v>10</v>
      </c>
      <c r="B12" s="26" t="s">
        <v>42</v>
      </c>
      <c r="C12" s="255">
        <v>9</v>
      </c>
      <c r="D12" s="68">
        <v>9</v>
      </c>
      <c r="E12" s="27">
        <f>C12-D12</f>
        <v>0</v>
      </c>
      <c r="F12" s="68">
        <v>9.1999999999999993</v>
      </c>
      <c r="G12" s="27">
        <f t="shared" si="1"/>
        <v>-0.19999999999999929</v>
      </c>
      <c r="H12" s="28"/>
      <c r="I12" s="170" t="s">
        <v>42</v>
      </c>
    </row>
    <row r="13" spans="1:9" ht="15" x14ac:dyDescent="0.25">
      <c r="A13" s="25">
        <v>11</v>
      </c>
      <c r="B13" s="29" t="s">
        <v>43</v>
      </c>
      <c r="C13" s="254">
        <v>7.3</v>
      </c>
      <c r="D13" s="67">
        <v>7.4</v>
      </c>
      <c r="E13" s="30">
        <f t="shared" si="0"/>
        <v>-0.10000000000000053</v>
      </c>
      <c r="F13" s="67">
        <v>7.4</v>
      </c>
      <c r="G13" s="30">
        <f t="shared" si="1"/>
        <v>-0.10000000000000053</v>
      </c>
      <c r="H13" s="28"/>
      <c r="I13" s="167" t="s">
        <v>43</v>
      </c>
    </row>
    <row r="14" spans="1:9" ht="15" x14ac:dyDescent="0.25">
      <c r="A14" s="25">
        <v>12</v>
      </c>
      <c r="B14" s="29" t="s">
        <v>44</v>
      </c>
      <c r="C14" s="30">
        <v>5</v>
      </c>
      <c r="D14" s="67">
        <v>4.9000000000000004</v>
      </c>
      <c r="E14" s="30">
        <f t="shared" si="0"/>
        <v>9.9999999999999645E-2</v>
      </c>
      <c r="F14" s="67">
        <v>5</v>
      </c>
      <c r="G14" s="30">
        <f t="shared" si="1"/>
        <v>0</v>
      </c>
      <c r="H14" s="28"/>
      <c r="I14" s="167" t="s">
        <v>44</v>
      </c>
    </row>
    <row r="15" spans="1:9" ht="15" x14ac:dyDescent="0.25">
      <c r="A15" s="25">
        <v>13</v>
      </c>
      <c r="B15" s="29" t="s">
        <v>45</v>
      </c>
      <c r="C15" s="30">
        <v>3.9</v>
      </c>
      <c r="D15" s="67">
        <v>3.8</v>
      </c>
      <c r="E15" s="30">
        <f t="shared" si="0"/>
        <v>0.10000000000000009</v>
      </c>
      <c r="F15" s="67">
        <v>4</v>
      </c>
      <c r="G15" s="30">
        <f t="shared" si="1"/>
        <v>-0.10000000000000009</v>
      </c>
      <c r="H15" s="28"/>
      <c r="I15" s="167" t="s">
        <v>45</v>
      </c>
    </row>
    <row r="16" spans="1:9" ht="15" x14ac:dyDescent="0.25">
      <c r="A16" s="25">
        <v>14</v>
      </c>
      <c r="B16" s="29" t="s">
        <v>46</v>
      </c>
      <c r="C16" s="30">
        <v>8.1</v>
      </c>
      <c r="D16" s="67">
        <v>8.1999999999999993</v>
      </c>
      <c r="E16" s="30">
        <f t="shared" si="0"/>
        <v>-9.9999999999999645E-2</v>
      </c>
      <c r="F16" s="67">
        <v>8.4</v>
      </c>
      <c r="G16" s="30">
        <f t="shared" si="1"/>
        <v>-0.30000000000000071</v>
      </c>
      <c r="H16" s="28"/>
      <c r="I16" s="167" t="s">
        <v>46</v>
      </c>
    </row>
    <row r="17" spans="1:9" ht="15" x14ac:dyDescent="0.25">
      <c r="A17" s="25">
        <v>15</v>
      </c>
      <c r="B17" s="29" t="s">
        <v>47</v>
      </c>
      <c r="C17" s="30">
        <v>8.8000000000000007</v>
      </c>
      <c r="D17" s="67">
        <v>8.8000000000000007</v>
      </c>
      <c r="E17" s="30">
        <f t="shared" si="0"/>
        <v>0</v>
      </c>
      <c r="F17" s="67">
        <v>9.1999999999999993</v>
      </c>
      <c r="G17" s="30">
        <f t="shared" si="1"/>
        <v>-0.39999999999999858</v>
      </c>
      <c r="H17" s="28"/>
      <c r="I17" s="167" t="s">
        <v>118</v>
      </c>
    </row>
    <row r="18" spans="1:9" ht="15" x14ac:dyDescent="0.25">
      <c r="A18" s="25">
        <v>16</v>
      </c>
      <c r="B18" s="29" t="s">
        <v>48</v>
      </c>
      <c r="C18" s="30">
        <v>3.3</v>
      </c>
      <c r="D18" s="67">
        <v>3.2</v>
      </c>
      <c r="E18" s="30">
        <f t="shared" si="0"/>
        <v>9.9999999999999645E-2</v>
      </c>
      <c r="F18" s="67">
        <v>3.2</v>
      </c>
      <c r="G18" s="30">
        <f t="shared" si="1"/>
        <v>9.9999999999999645E-2</v>
      </c>
      <c r="H18" s="28"/>
      <c r="I18" s="167" t="s">
        <v>48</v>
      </c>
    </row>
    <row r="19" spans="1:9" ht="15" x14ac:dyDescent="0.25">
      <c r="A19" s="25">
        <v>17</v>
      </c>
      <c r="B19" s="29" t="s">
        <v>49</v>
      </c>
      <c r="C19" s="30">
        <v>7.2</v>
      </c>
      <c r="D19" s="67">
        <v>7.1</v>
      </c>
      <c r="E19" s="30">
        <f t="shared" si="0"/>
        <v>0.10000000000000053</v>
      </c>
      <c r="F19" s="67">
        <v>7.2</v>
      </c>
      <c r="G19" s="30">
        <f t="shared" si="1"/>
        <v>0</v>
      </c>
      <c r="H19" s="28"/>
      <c r="I19" s="167" t="s">
        <v>49</v>
      </c>
    </row>
    <row r="20" spans="1:9" ht="12.75" customHeight="1" x14ac:dyDescent="0.2">
      <c r="B20" s="52" t="s">
        <v>119</v>
      </c>
    </row>
    <row r="21" spans="1:9" ht="13.5" customHeight="1" x14ac:dyDescent="0.2">
      <c r="B21" s="151"/>
    </row>
    <row r="22" spans="1:9" x14ac:dyDescent="0.2">
      <c r="B22" s="52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3" customWidth="1"/>
    <col min="2" max="2" width="8.140625" style="3" customWidth="1"/>
    <col min="3" max="3" width="28" style="3" customWidth="1"/>
    <col min="4" max="4" width="14.28515625" style="3" customWidth="1"/>
    <col min="5" max="5" width="13.28515625" style="3" customWidth="1"/>
    <col min="6" max="6" width="18.42578125" style="3" customWidth="1"/>
    <col min="7" max="7" width="13.140625" style="3" customWidth="1"/>
    <col min="8" max="8" width="16.710937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87</v>
      </c>
    </row>
    <row r="2" spans="1:8" ht="15" x14ac:dyDescent="0.2">
      <c r="C2" s="20"/>
      <c r="D2" s="21"/>
    </row>
    <row r="3" spans="1:8" ht="71.25" x14ac:dyDescent="0.2">
      <c r="B3" s="62" t="s">
        <v>86</v>
      </c>
      <c r="C3" s="55" t="str">
        <f>T('3s.bezr.Pol'!B2)</f>
        <v>powiaty</v>
      </c>
      <c r="D3" s="55" t="str">
        <f>T('3s.bezr.Pol'!C2)</f>
        <v>Stopa bezrobocia stan na 29-02-'24 r. (w proc.)*</v>
      </c>
      <c r="E3" s="55" t="str">
        <f>T('3s.bezr.Pol'!D2)</f>
        <v>Stopa bezrobocia stan na 31-12-'23 r. (w proc.)*</v>
      </c>
      <c r="F3" s="66" t="str">
        <f>T('3s.bezr.Pol'!E2)</f>
        <v>wzrost lub spadek do poprzedniego miesiąca (pkt. proc.)</v>
      </c>
      <c r="G3" s="171" t="str">
        <f>T('3s.bezr.Pol'!F2)</f>
        <v>Stopa bezrobocia stan na 28-02-'23 r. (w proc.)*</v>
      </c>
      <c r="H3" s="66" t="str">
        <f>T('3s.bezr.Pol'!G2)</f>
        <v>wzrost lub spadek do początku roku (pkt. proc.)</v>
      </c>
    </row>
    <row r="4" spans="1:8" x14ac:dyDescent="0.2">
      <c r="A4" s="3">
        <v>1</v>
      </c>
      <c r="B4" s="6">
        <f>RANK('3s.bezr.Pol'!C3,'3s.bezr.Pol'!$C$3:'3s.bezr.Pol'!$C$19,1)+COUNTIF('3s.bezr.Pol'!$C$4:'3s.bezr.Pol'!C3,'3s.bezr.Pol'!C3)-1</f>
        <v>8</v>
      </c>
      <c r="C4" s="5" t="str">
        <f>INDEX('3s.bezr.Pol'!B3:G19,MATCH(1,B4:B20,0),1)</f>
        <v>WIELKOPOLSKIE</v>
      </c>
      <c r="D4" s="28">
        <f>INDEX('3s.bezr.Pol'!B3:G19,MATCH(1,B4:B20,0),2)</f>
        <v>3.3</v>
      </c>
      <c r="E4" s="31">
        <f>INDEX('3s.bezr.Pol'!B3:G19,MATCH(1,B4:B20,0),3)</f>
        <v>3.2</v>
      </c>
      <c r="F4" s="67">
        <f>INDEX('3s.bezr.Pol'!B3:G19,MATCH(1,B4:B20,0),4)</f>
        <v>9.9999999999999645E-2</v>
      </c>
      <c r="G4" s="31">
        <f>INDEX('3s.bezr.Pol'!B3:G19,MATCH(1,B4:B20,0),5)</f>
        <v>3.2</v>
      </c>
      <c r="H4" s="67">
        <f>INDEX('3s.bezr.Pol'!B3:G19,MATCH(1,B4:B20,0),6)</f>
        <v>9.9999999999999645E-2</v>
      </c>
    </row>
    <row r="5" spans="1:8" x14ac:dyDescent="0.2">
      <c r="A5" s="3">
        <v>2</v>
      </c>
      <c r="B5" s="6">
        <f>RANK('3s.bezr.Pol'!C4,'3s.bezr.Pol'!$C$3:'3s.bezr.Pol'!$C$19,1)+COUNTIF('3s.bezr.Pol'!$C$4:'3s.bezr.Pol'!C4,'3s.bezr.Pol'!C4)-1</f>
        <v>6</v>
      </c>
      <c r="C5" s="5" t="str">
        <f>INDEX('3s.bezr.Pol'!B3:G19,MATCH(2,B4:B20,0),1)</f>
        <v>ŚLĄSKIE</v>
      </c>
      <c r="D5" s="8">
        <f>INDEX('3s.bezr.Pol'!B3:G19,MATCH(2,B4:B20,0),2)</f>
        <v>3.9</v>
      </c>
      <c r="E5" s="31">
        <f>INDEX('3s.bezr.Pol'!B3:G19,MATCH(2,B4:B20,0),3)</f>
        <v>3.8</v>
      </c>
      <c r="F5" s="67">
        <f>INDEX('3s.bezr.Pol'!B3:G19,MATCH(2,B4:B20,0),4)</f>
        <v>0.10000000000000009</v>
      </c>
      <c r="G5" s="31">
        <f>INDEX('3s.bezr.Pol'!B3:G19,MATCH(2,B4:B20,0),5)</f>
        <v>4</v>
      </c>
      <c r="H5" s="67">
        <f>INDEX('3s.bezr.Pol'!B3:G19,MATCH(2,B4:B20,0),6)</f>
        <v>-0.10000000000000009</v>
      </c>
    </row>
    <row r="6" spans="1:8" x14ac:dyDescent="0.2">
      <c r="A6" s="3">
        <v>3</v>
      </c>
      <c r="B6" s="6">
        <f>RANK('3s.bezr.Pol'!C5,'3s.bezr.Pol'!$C$3:'3s.bezr.Pol'!$C$19,1)+COUNTIF('3s.bezr.Pol'!$C$4:'3s.bezr.Pol'!C5,'3s.bezr.Pol'!C5)-1</f>
        <v>13</v>
      </c>
      <c r="C6" s="5" t="str">
        <f>INDEX('3s.bezr.Pol'!B3:G19,MATCH(3,B4:B20,0),1)</f>
        <v>MAZOWIECKIE</v>
      </c>
      <c r="D6" s="8">
        <f>INDEX('3s.bezr.Pol'!B3:G19,MATCH(3,B4:B20,0),2)</f>
        <v>4.3</v>
      </c>
      <c r="E6" s="31">
        <f>INDEX('3s.bezr.Pol'!B3:G19,MATCH(3,B4:B20,0),3)</f>
        <v>4.3</v>
      </c>
      <c r="F6" s="67">
        <f>INDEX('3s.bezr.Pol'!B3:G19,MATCH(3,B4:B20,0),4)</f>
        <v>0</v>
      </c>
      <c r="G6" s="31">
        <f>INDEX('3s.bezr.Pol'!B3:G19,MATCH(3,B4:B20,0),5)</f>
        <v>4.5</v>
      </c>
      <c r="H6" s="67">
        <f>INDEX('3s.bezr.Pol'!B3:G19,MATCH(3,B4:B20,0),6)</f>
        <v>-0.20000000000000018</v>
      </c>
    </row>
    <row r="7" spans="1:8" x14ac:dyDescent="0.2">
      <c r="A7" s="3">
        <v>4</v>
      </c>
      <c r="B7" s="6">
        <f>RANK('3s.bezr.Pol'!C6,'3s.bezr.Pol'!$C$3:'3s.bezr.Pol'!$C$19,1)+COUNTIF('3s.bezr.Pol'!$C$4:'3s.bezr.Pol'!C6,'3s.bezr.Pol'!C6)-1</f>
        <v>14</v>
      </c>
      <c r="C7" s="5" t="str">
        <f>INDEX('3s.bezr.Pol'!B3:G19,MATCH(4,B4:B20,0),1)</f>
        <v>MAŁOPOLSKIE</v>
      </c>
      <c r="D7" s="8">
        <f>INDEX('3s.bezr.Pol'!B3:G19,MATCH(4,B4:B20,0),2)</f>
        <v>4.5</v>
      </c>
      <c r="E7" s="31">
        <f>INDEX('3s.bezr.Pol'!B3:G19,MATCH(4,B4:B20,0),3)</f>
        <v>4.4000000000000004</v>
      </c>
      <c r="F7" s="67">
        <f>INDEX('3s.bezr.Pol'!B3:G19,MATCH(4,B4:B20,0),4)</f>
        <v>9.9999999999999645E-2</v>
      </c>
      <c r="G7" s="31">
        <f>INDEX('3s.bezr.Pol'!B3:G19,MATCH(4,B4:B20,0),5)</f>
        <v>4.7</v>
      </c>
      <c r="H7" s="67">
        <f>INDEX('3s.bezr.Pol'!B3:G19,MATCH(4,B4:B20,0),6)</f>
        <v>-0.20000000000000018</v>
      </c>
    </row>
    <row r="8" spans="1:8" x14ac:dyDescent="0.2">
      <c r="A8" s="3">
        <v>5</v>
      </c>
      <c r="B8" s="6">
        <f>RANK('3s.bezr.Pol'!C7,'3s.bezr.Pol'!$C$3:'3s.bezr.Pol'!$C$19,1)+COUNTIF('3s.bezr.Pol'!$C$4:'3s.bezr.Pol'!C7,'3s.bezr.Pol'!C7)-1</f>
        <v>5</v>
      </c>
      <c r="C8" s="5" t="str">
        <f>INDEX('3s.bezr.Pol'!B3:G19,MATCH(5,B4:B20,0),1)</f>
        <v>LUBUSKIE</v>
      </c>
      <c r="D8" s="8">
        <f>INDEX('3s.bezr.Pol'!B3:G19,MATCH(5,B4:B20,0),2)</f>
        <v>4.7</v>
      </c>
      <c r="E8" s="31">
        <f>INDEX('3s.bezr.Pol'!B3:G19,MATCH(5,B4:B20,0),3)</f>
        <v>4.7</v>
      </c>
      <c r="F8" s="67">
        <f>INDEX('3s.bezr.Pol'!B3:G19,MATCH(5,B4:B20,0),4)</f>
        <v>0</v>
      </c>
      <c r="G8" s="31">
        <f>INDEX('3s.bezr.Pol'!B3:G19,MATCH(5,B4:B20,0),5)</f>
        <v>4.8</v>
      </c>
      <c r="H8" s="67">
        <f>INDEX('3s.bezr.Pol'!B3:G19,MATCH(5,B4:B20,0),6)</f>
        <v>-9.9999999999999645E-2</v>
      </c>
    </row>
    <row r="9" spans="1:8" x14ac:dyDescent="0.2">
      <c r="A9" s="3">
        <v>6</v>
      </c>
      <c r="B9" s="6">
        <f>RANK('3s.bezr.Pol'!C8,'3s.bezr.Pol'!$C$3:'3s.bezr.Pol'!$C$19,1)+COUNTIF('3s.bezr.Pol'!$C$4:'3s.bezr.Pol'!C8,'3s.bezr.Pol'!C8)-1</f>
        <v>9</v>
      </c>
      <c r="C9" s="5" t="str">
        <f>INDEX('3s.bezr.Pol'!B3:G19,MATCH(6,B4:B20,0),1)</f>
        <v>DOLNOŚLĄSKIE</v>
      </c>
      <c r="D9" s="8">
        <f>INDEX('3s.bezr.Pol'!B3:G19,MATCH(6,B4:B20,0),2)</f>
        <v>4.8</v>
      </c>
      <c r="E9" s="31">
        <f>INDEX('3s.bezr.Pol'!B3:G19,MATCH(6,B4:B20,0),3)</f>
        <v>4.7</v>
      </c>
      <c r="F9" s="67">
        <f>INDEX('3s.bezr.Pol'!B3:G19,MATCH(6,B4:B20,0),4)</f>
        <v>9.9999999999999645E-2</v>
      </c>
      <c r="G9" s="31">
        <f>INDEX('3s.bezr.Pol'!B3:G19,MATCH(6,B4:B20,0),5)</f>
        <v>4.8</v>
      </c>
      <c r="H9" s="67">
        <f>INDEX('3s.bezr.Pol'!B3:G19,MATCH(6,B4:B20,0),6)</f>
        <v>0</v>
      </c>
    </row>
    <row r="10" spans="1:8" x14ac:dyDescent="0.2">
      <c r="A10" s="3">
        <v>7</v>
      </c>
      <c r="B10" s="6">
        <f>RANK('3s.bezr.Pol'!C9,'3s.bezr.Pol'!$C$3:'3s.bezr.Pol'!$C$19,1)+COUNTIF('3s.bezr.Pol'!$C$4:'3s.bezr.Pol'!C9,'3s.bezr.Pol'!C9)-1</f>
        <v>4</v>
      </c>
      <c r="C10" s="9" t="str">
        <f>INDEX('3s.bezr.Pol'!B3:G19,MATCH(7,B4:B20,0),1)</f>
        <v>POMORSKIE</v>
      </c>
      <c r="D10" s="8">
        <f>INDEX('3s.bezr.Pol'!B3:G19,MATCH(7,B4:B20,0),2)</f>
        <v>5</v>
      </c>
      <c r="E10" s="31">
        <f>INDEX('3s.bezr.Pol'!B3:G19,MATCH(7,B4:B20,0),3)</f>
        <v>4.9000000000000004</v>
      </c>
      <c r="F10" s="67">
        <f>INDEX('3s.bezr.Pol'!B3:G19,MATCH(7,B4:B20,0),4)</f>
        <v>9.9999999999999645E-2</v>
      </c>
      <c r="G10" s="31">
        <f>INDEX('3s.bezr.Pol'!B3:G19,MATCH(7,B4:B20,0),5)</f>
        <v>5</v>
      </c>
      <c r="H10" s="67">
        <f>INDEX('3s.bezr.Pol'!B3:G19,MATCH(7,B4:B20,0),6)</f>
        <v>0</v>
      </c>
    </row>
    <row r="11" spans="1:8" ht="15" x14ac:dyDescent="0.25">
      <c r="A11" s="3">
        <v>8</v>
      </c>
      <c r="B11" s="22">
        <f>RANK('3s.bezr.Pol'!C10,'3s.bezr.Pol'!$C$3:'3s.bezr.Pol'!$C$19,1)+COUNTIF('3s.bezr.Pol'!$C$4:'3s.bezr.Pol'!C10,'3s.bezr.Pol'!C10)-1</f>
        <v>3</v>
      </c>
      <c r="C11" s="41" t="str">
        <f>INDEX('3s.bezr.Pol'!B3:G19,MATCH(8,B4:B20,0),1)</f>
        <v>POLSKA</v>
      </c>
      <c r="D11" s="34">
        <f>INDEX('3s.bezr.Pol'!B3:G19,MATCH(8,B4:B20,0),2)</f>
        <v>5.4</v>
      </c>
      <c r="E11" s="51">
        <f>INDEX('3s.bezr.Pol'!B3:G19,MATCH(8,B4:B20,0),3)</f>
        <v>5.4</v>
      </c>
      <c r="F11" s="68">
        <f>INDEX('3s.bezr.Pol'!B3:G19,MATCH(8,B4:B20,0),4)</f>
        <v>0</v>
      </c>
      <c r="G11" s="51">
        <f>INDEX('3s.bezr.Pol'!B3:G19,MATCH(8,B4:B20,0),5)</f>
        <v>5.6</v>
      </c>
      <c r="H11" s="68">
        <f>INDEX('3s.bezr.Pol'!B3:G19,MATCH(8,B4:B20,0),6)</f>
        <v>-0.19999999999999929</v>
      </c>
    </row>
    <row r="12" spans="1:8" x14ac:dyDescent="0.2">
      <c r="A12" s="3">
        <v>9</v>
      </c>
      <c r="B12" s="6">
        <f>RANK('3s.bezr.Pol'!C11,'3s.bezr.Pol'!$C$3:'3s.bezr.Pol'!$C$19,1)+COUNTIF('3s.bezr.Pol'!$C$4:'3s.bezr.Pol'!C11,'3s.bezr.Pol'!C11)-1</f>
        <v>10</v>
      </c>
      <c r="C12" s="5" t="str">
        <f>INDEX('3s.bezr.Pol'!B3:G19,MATCH(9,B4:B20,0),1)</f>
        <v>ŁÓDZKIE</v>
      </c>
      <c r="D12" s="8">
        <f>INDEX('3s.bezr.Pol'!B3:G19,MATCH(9,B4:B20,0),2)</f>
        <v>5.7</v>
      </c>
      <c r="E12" s="31">
        <f>INDEX('3s.bezr.Pol'!B3:G19,MATCH(9,B4:B20,0),3)</f>
        <v>5.6</v>
      </c>
      <c r="F12" s="67">
        <f>INDEX('3s.bezr.Pol'!B3:G19,MATCH(9,B4:B20,0),4)</f>
        <v>0.10000000000000053</v>
      </c>
      <c r="G12" s="31">
        <f>INDEX('3s.bezr.Pol'!B3:G19,MATCH(9,B4:B20,0),5)</f>
        <v>5.8</v>
      </c>
      <c r="H12" s="67">
        <f>INDEX('3s.bezr.Pol'!B3:G19,MATCH(9,B4:B20,0),6)</f>
        <v>-9.9999999999999645E-2</v>
      </c>
    </row>
    <row r="13" spans="1:8" x14ac:dyDescent="0.2">
      <c r="A13" s="3">
        <v>10</v>
      </c>
      <c r="B13" s="6">
        <f>RANK('3s.bezr.Pol'!C12,'3s.bezr.Pol'!$C$3:'3s.bezr.Pol'!$C$19,1)+COUNTIF('3s.bezr.Pol'!$C$4:'3s.bezr.Pol'!C12,'3s.bezr.Pol'!C12)-1</f>
        <v>17</v>
      </c>
      <c r="C13" s="5" t="str">
        <f>INDEX('3s.bezr.Pol'!B3:G19,MATCH(10,B4:B20,0),1)</f>
        <v>OPOLSKIE</v>
      </c>
      <c r="D13" s="8">
        <f>INDEX('3s.bezr.Pol'!B3:G19,MATCH(10,B4:B20,0),2)</f>
        <v>6.1</v>
      </c>
      <c r="E13" s="31">
        <f>INDEX('3s.bezr.Pol'!B3:G19,MATCH(10,B4:B20,0),3)</f>
        <v>6.2</v>
      </c>
      <c r="F13" s="67">
        <f>INDEX('3s.bezr.Pol'!B3:G19,MATCH(10,B4:B20,0),4)</f>
        <v>-0.10000000000000053</v>
      </c>
      <c r="G13" s="31">
        <f>INDEX('3s.bezr.Pol'!B3:G19,MATCH(10,B4:B20,0),5)</f>
        <v>6.4</v>
      </c>
      <c r="H13" s="67">
        <f>INDEX('3s.bezr.Pol'!B3:G19,MATCH(10,B4:B20,0),6)</f>
        <v>-0.30000000000000071</v>
      </c>
    </row>
    <row r="14" spans="1:8" x14ac:dyDescent="0.2">
      <c r="A14" s="3">
        <v>11</v>
      </c>
      <c r="B14" s="6">
        <f>RANK('3s.bezr.Pol'!C13,'3s.bezr.Pol'!$C$3:'3s.bezr.Pol'!$C$19,1)+COUNTIF('3s.bezr.Pol'!$C$4:'3s.bezr.Pol'!C13,'3s.bezr.Pol'!C13)-1</f>
        <v>12</v>
      </c>
      <c r="C14" s="5" t="str">
        <f>INDEX('3s.bezr.Pol'!B3:G19,MATCH(11,B4:B20,0),1)</f>
        <v>ZACHODNIOPOMORSKIE</v>
      </c>
      <c r="D14" s="8">
        <f>INDEX('3s.bezr.Pol'!B3:G19,MATCH(11,B4:B20,0),2)</f>
        <v>7.2</v>
      </c>
      <c r="E14" s="31">
        <f>INDEX('3s.bezr.Pol'!B3:G19,MATCH(11,B4:B20,0),3)</f>
        <v>7.1</v>
      </c>
      <c r="F14" s="67">
        <f>INDEX('3s.bezr.Pol'!B3:G19,MATCH(11,B4:B20,0),4)</f>
        <v>0.10000000000000053</v>
      </c>
      <c r="G14" s="31">
        <f>INDEX('3s.bezr.Pol'!B3:G19,MATCH(11,B4:B20,0),5)</f>
        <v>7.2</v>
      </c>
      <c r="H14" s="67">
        <f>INDEX('3s.bezr.Pol'!B3:G19,MATCH(11,B4:B20,0),6)</f>
        <v>0</v>
      </c>
    </row>
    <row r="15" spans="1:8" x14ac:dyDescent="0.2">
      <c r="A15" s="3">
        <v>12</v>
      </c>
      <c r="B15" s="6">
        <f>RANK('3s.bezr.Pol'!C14,'3s.bezr.Pol'!$C$3:'3s.bezr.Pol'!$C$19,1)+COUNTIF('3s.bezr.Pol'!$C$4:'3s.bezr.Pol'!C14,'3s.bezr.Pol'!C14)-1</f>
        <v>7</v>
      </c>
      <c r="C15" s="5" t="str">
        <f>INDEX('3s.bezr.Pol'!B3:G19,MATCH(12,B4:B20,0),1)</f>
        <v>PODLASKIE</v>
      </c>
      <c r="D15" s="8">
        <f>INDEX('3s.bezr.Pol'!B3:G19,MATCH(12,B4:B20,0),2)</f>
        <v>7.3</v>
      </c>
      <c r="E15" s="31">
        <f>INDEX('3s.bezr.Pol'!B3:G19,MATCH(12,B4:B20,0),3)</f>
        <v>7.4</v>
      </c>
      <c r="F15" s="67">
        <f>INDEX('3s.bezr.Pol'!B3:G19,MATCH(12,B4:B20,0),4)</f>
        <v>-0.10000000000000053</v>
      </c>
      <c r="G15" s="31">
        <f>INDEX('3s.bezr.Pol'!B3:G19,MATCH(12,B4:B20,0),5)</f>
        <v>7.4</v>
      </c>
      <c r="H15" s="67">
        <f>INDEX('3s.bezr.Pol'!B3:G19,MATCH(12,B4:B20,0),6)</f>
        <v>-0.10000000000000053</v>
      </c>
    </row>
    <row r="16" spans="1:8" x14ac:dyDescent="0.2">
      <c r="A16" s="3">
        <v>13</v>
      </c>
      <c r="B16" s="6">
        <f>RANK('3s.bezr.Pol'!C15,'3s.bezr.Pol'!$C$3:'3s.bezr.Pol'!$C$19,1)+COUNTIF('3s.bezr.Pol'!$C$4:'3s.bezr.Pol'!C15,'3s.bezr.Pol'!C15)-1</f>
        <v>2</v>
      </c>
      <c r="C16" s="5" t="str">
        <f>INDEX('3s.bezr.Pol'!B3:G19,MATCH(13,B4:B20,0),1)</f>
        <v>KUJAWSKO-POMORSKIE</v>
      </c>
      <c r="D16" s="8">
        <f>INDEX('3s.bezr.Pol'!B3:G19,MATCH(13,B4:B20,0),2)</f>
        <v>7.5</v>
      </c>
      <c r="E16" s="31">
        <f>INDEX('3s.bezr.Pol'!B3:G19,MATCH(13,B4:B20,0),3)</f>
        <v>7.5</v>
      </c>
      <c r="F16" s="67">
        <f>INDEX('3s.bezr.Pol'!B3:G19,MATCH(13,B4:B20,0),4)</f>
        <v>0</v>
      </c>
      <c r="G16" s="31">
        <f>INDEX('3s.bezr.Pol'!B3:G19,MATCH(13,B4:B20,0),5)</f>
        <v>7.8</v>
      </c>
      <c r="H16" s="67">
        <f>INDEX('3s.bezr.Pol'!B3:G19,MATCH(13,B4:B20,0),6)</f>
        <v>-0.29999999999999982</v>
      </c>
    </row>
    <row r="17" spans="1:8" x14ac:dyDescent="0.2">
      <c r="A17" s="3">
        <v>14</v>
      </c>
      <c r="B17" s="6">
        <f>RANK('3s.bezr.Pol'!C16,'3s.bezr.Pol'!$C$3:'3s.bezr.Pol'!$C$19,1)+COUNTIF('3s.bezr.Pol'!$C$4:'3s.bezr.Pol'!C16,'3s.bezr.Pol'!C16)-1</f>
        <v>15</v>
      </c>
      <c r="C17" s="5" t="str">
        <f>INDEX('3s.bezr.Pol'!B3:G19,MATCH(14,B4:B20,0),1)</f>
        <v>LUBELSKIE</v>
      </c>
      <c r="D17" s="8">
        <f>INDEX('3s.bezr.Pol'!B3:G19,MATCH(14,B4:B20,0),2)</f>
        <v>7.9</v>
      </c>
      <c r="E17" s="31">
        <f>INDEX('3s.bezr.Pol'!B3:G19,MATCH(14,B4:B20,0),3)</f>
        <v>7.9</v>
      </c>
      <c r="F17" s="67">
        <f>INDEX('3s.bezr.Pol'!B3:G19,MATCH(14,B4:B20,0),4)</f>
        <v>0</v>
      </c>
      <c r="G17" s="31">
        <f>INDEX('3s.bezr.Pol'!B3:G19,MATCH(14,B4:B20,0),5)</f>
        <v>8.3000000000000007</v>
      </c>
      <c r="H17" s="67">
        <f>INDEX('3s.bezr.Pol'!B3:G19,MATCH(14,B4:B20,0),6)</f>
        <v>-0.40000000000000036</v>
      </c>
    </row>
    <row r="18" spans="1:8" x14ac:dyDescent="0.2">
      <c r="A18" s="3">
        <v>15</v>
      </c>
      <c r="B18" s="6">
        <f>RANK('3s.bezr.Pol'!C17,'3s.bezr.Pol'!$C$3:'3s.bezr.Pol'!$C$19,1)+COUNTIF('3s.bezr.Pol'!$C$4:'3s.bezr.Pol'!C17,'3s.bezr.Pol'!C17)-1</f>
        <v>16</v>
      </c>
      <c r="C18" s="5" t="str">
        <f>INDEX('3s.bezr.Pol'!B3:G19,MATCH(15,B4:B20,0),1)</f>
        <v>ŚWIĘTOKRZYSKIE</v>
      </c>
      <c r="D18" s="8">
        <f>INDEX('3s.bezr.Pol'!B3:G19,MATCH(15,B4:B20,0),2)</f>
        <v>8.1</v>
      </c>
      <c r="E18" s="31">
        <f>INDEX('3s.bezr.Pol'!B3:G19,MATCH(15,B4:B20,0),3)</f>
        <v>8.1999999999999993</v>
      </c>
      <c r="F18" s="67">
        <f>INDEX('3s.bezr.Pol'!B3:G19,MATCH(15,B4:B20,0),4)</f>
        <v>-9.9999999999999645E-2</v>
      </c>
      <c r="G18" s="31">
        <f>INDEX('3s.bezr.Pol'!B3:G19,MATCH(15,B4:B20,0),5)</f>
        <v>8.4</v>
      </c>
      <c r="H18" s="67">
        <f>INDEX('3s.bezr.Pol'!B3:G19,MATCH(15,B4:B20,0),6)</f>
        <v>-0.30000000000000071</v>
      </c>
    </row>
    <row r="19" spans="1:8" x14ac:dyDescent="0.2">
      <c r="A19" s="3">
        <v>16</v>
      </c>
      <c r="B19" s="6">
        <f>RANK('3s.bezr.Pol'!C18,'3s.bezr.Pol'!$C$3:'3s.bezr.Pol'!$C$19,1)+COUNTIF('3s.bezr.Pol'!$C$4:'3s.bezr.Pol'!C18,'3s.bezr.Pol'!C18)-1</f>
        <v>1</v>
      </c>
      <c r="C19" s="5" t="str">
        <f>INDEX('3s.bezr.Pol'!B3:G19,MATCH(16,B4:B20,0),1)</f>
        <v>WARMIŃSKO-MAZURSKIE</v>
      </c>
      <c r="D19" s="8">
        <f>INDEX('3s.bezr.Pol'!B3:G19,MATCH(16,B4:B20,0),2)</f>
        <v>8.8000000000000007</v>
      </c>
      <c r="E19" s="31">
        <f>INDEX('3s.bezr.Pol'!B3:G19,MATCH(16,B4:B20,0),3)</f>
        <v>8.8000000000000007</v>
      </c>
      <c r="F19" s="67">
        <f>INDEX('3s.bezr.Pol'!B3:G19,MATCH(16,B4:B20,0),4)</f>
        <v>0</v>
      </c>
      <c r="G19" s="31">
        <f>INDEX('3s.bezr.Pol'!B3:G19,MATCH(16,B4:B20,0),5)</f>
        <v>9.1999999999999993</v>
      </c>
      <c r="H19" s="67">
        <f>INDEX('3s.bezr.Pol'!B3:G19,MATCH(16,B4:B20,0),6)</f>
        <v>-0.39999999999999858</v>
      </c>
    </row>
    <row r="20" spans="1:8" x14ac:dyDescent="0.2">
      <c r="A20" s="3">
        <v>17</v>
      </c>
      <c r="B20" s="6">
        <f>RANK('3s.bezr.Pol'!C19,'3s.bezr.Pol'!$C$3:'3s.bezr.Pol'!$C$19,1)+COUNTIF('3s.bezr.Pol'!$C$4:'3s.bezr.Pol'!C19,'3s.bezr.Pol'!C19)-1</f>
        <v>11</v>
      </c>
      <c r="C20" s="9" t="str">
        <f>INDEX('3s.bezr.Pol'!B3:G19,MATCH(17,B4:B20,0),1)</f>
        <v>PODKARPACKIE</v>
      </c>
      <c r="D20" s="8">
        <f>INDEX('3s.bezr.Pol'!B3:G19,MATCH(17,B4:B20,0),2)</f>
        <v>9</v>
      </c>
      <c r="E20" s="31">
        <f>INDEX('3s.bezr.Pol'!B3:G19,MATCH(17,B4:B20,0),3)</f>
        <v>9</v>
      </c>
      <c r="F20" s="67">
        <f>INDEX('3s.bezr.Pol'!B3:G19,MATCH(17,B4:B20,0),4)</f>
        <v>0</v>
      </c>
      <c r="G20" s="31">
        <f>INDEX('3s.bezr.Pol'!B3:G19,MATCH(17,B4:B20,0),5)</f>
        <v>9.1999999999999993</v>
      </c>
      <c r="H20" s="67">
        <f>INDEX('3s.bezr.Pol'!B3:G19,MATCH(17,B4:B20,0),6)</f>
        <v>-0.19999999999999929</v>
      </c>
    </row>
    <row r="21" spans="1:8" x14ac:dyDescent="0.2">
      <c r="B21" s="52" t="str">
        <f>T('3s.bezr.Pol'!B20)</f>
        <v xml:space="preserve">* GUS, Bank Danych Lokalnych </v>
      </c>
    </row>
    <row r="22" spans="1:8" x14ac:dyDescent="0.2">
      <c r="B22" s="151"/>
    </row>
    <row r="23" spans="1:8" x14ac:dyDescent="0.2">
      <c r="B23" s="53"/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700"/>
    <pageSetUpPr fitToPage="1"/>
  </sheetPr>
  <dimension ref="A1:I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1.5703125" style="3" customWidth="1"/>
    <col min="3" max="3" width="14.7109375" style="3" customWidth="1"/>
    <col min="4" max="4" width="16" style="3" customWidth="1"/>
    <col min="5" max="5" width="16.28515625" style="3" customWidth="1"/>
    <col min="6" max="6" width="15.5703125" style="3" customWidth="1"/>
    <col min="7" max="7" width="17.140625" style="3" customWidth="1"/>
    <col min="8" max="8" width="2.42578125" style="3" customWidth="1"/>
    <col min="9" max="9" width="10.140625" style="3" hidden="1" customWidth="1"/>
    <col min="10" max="13" width="0" style="3" hidden="1" customWidth="1"/>
    <col min="14" max="16384" width="9.140625" style="3"/>
  </cols>
  <sheetData>
    <row r="1" spans="1:8" ht="16.5" customHeight="1" x14ac:dyDescent="0.2">
      <c r="B1" s="2" t="s">
        <v>88</v>
      </c>
    </row>
    <row r="2" spans="1:8" ht="71.25" x14ac:dyDescent="0.2">
      <c r="B2" s="56" t="s">
        <v>27</v>
      </c>
      <c r="C2" s="56" t="s">
        <v>146</v>
      </c>
      <c r="D2" s="57" t="s">
        <v>145</v>
      </c>
      <c r="E2" s="56" t="s">
        <v>75</v>
      </c>
      <c r="F2" s="57" t="s">
        <v>147</v>
      </c>
      <c r="G2" s="56" t="s">
        <v>115</v>
      </c>
    </row>
    <row r="3" spans="1:8" ht="15" x14ac:dyDescent="0.2">
      <c r="A3" s="25">
        <v>1</v>
      </c>
      <c r="B3" s="69" t="s">
        <v>33</v>
      </c>
      <c r="C3" s="70">
        <v>5.4</v>
      </c>
      <c r="D3" s="71">
        <v>5.4</v>
      </c>
      <c r="E3" s="72">
        <f>($C$3)-$D$3</f>
        <v>0</v>
      </c>
      <c r="F3" s="71">
        <v>5.6</v>
      </c>
      <c r="G3" s="70">
        <f>($C$3)-$F$3</f>
        <v>-0.19999999999999929</v>
      </c>
      <c r="H3" s="25"/>
    </row>
    <row r="4" spans="1:8" ht="15" x14ac:dyDescent="0.25">
      <c r="A4" s="25">
        <v>2</v>
      </c>
      <c r="B4" s="73" t="s">
        <v>42</v>
      </c>
      <c r="C4" s="74">
        <v>9</v>
      </c>
      <c r="D4" s="71">
        <v>9</v>
      </c>
      <c r="E4" s="74">
        <f>($C$4)-$D$4</f>
        <v>0</v>
      </c>
      <c r="F4" s="71">
        <v>9.1999999999999993</v>
      </c>
      <c r="G4" s="74">
        <f>($C$4)-$F$4</f>
        <v>-0.19999999999999929</v>
      </c>
      <c r="H4" s="25"/>
    </row>
    <row r="5" spans="1:8" x14ac:dyDescent="0.2">
      <c r="A5" s="25">
        <v>3</v>
      </c>
      <c r="B5" s="29" t="s">
        <v>50</v>
      </c>
      <c r="C5" s="30">
        <v>15.4</v>
      </c>
      <c r="D5" s="75">
        <v>16</v>
      </c>
      <c r="E5" s="8">
        <f>($C$5)-$D$5</f>
        <v>-0.59999999999999964</v>
      </c>
      <c r="F5" s="75">
        <v>16.5</v>
      </c>
      <c r="G5" s="8">
        <f>($C$5)-$F$5</f>
        <v>-1.0999999999999996</v>
      </c>
      <c r="H5" s="25"/>
    </row>
    <row r="6" spans="1:8" x14ac:dyDescent="0.2">
      <c r="A6" s="25">
        <v>4</v>
      </c>
      <c r="B6" s="29" t="s">
        <v>51</v>
      </c>
      <c r="C6" s="30">
        <v>21.2</v>
      </c>
      <c r="D6" s="75">
        <v>21.3</v>
      </c>
      <c r="E6" s="8">
        <f>($C$6)-$D$6</f>
        <v>-0.10000000000000142</v>
      </c>
      <c r="F6" s="75">
        <v>22</v>
      </c>
      <c r="G6" s="8">
        <f>($C$6)-$F$6</f>
        <v>-0.80000000000000071</v>
      </c>
      <c r="H6" s="25"/>
    </row>
    <row r="7" spans="1:8" x14ac:dyDescent="0.2">
      <c r="A7" s="25">
        <v>5</v>
      </c>
      <c r="B7" s="29" t="s">
        <v>52</v>
      </c>
      <c r="C7" s="30">
        <v>5</v>
      </c>
      <c r="D7" s="75">
        <v>5.0999999999999996</v>
      </c>
      <c r="E7" s="8">
        <f>($C$7)-$D$7</f>
        <v>-9.9999999999999645E-2</v>
      </c>
      <c r="F7" s="75">
        <v>5.0999999999999996</v>
      </c>
      <c r="G7" s="8">
        <f>($C$7)-$F$7</f>
        <v>-9.9999999999999645E-2</v>
      </c>
      <c r="H7" s="25"/>
    </row>
    <row r="8" spans="1:8" x14ac:dyDescent="0.2">
      <c r="A8" s="25">
        <v>6</v>
      </c>
      <c r="B8" s="29" t="s">
        <v>53</v>
      </c>
      <c r="C8" s="30">
        <v>11.1</v>
      </c>
      <c r="D8" s="75">
        <v>11.2</v>
      </c>
      <c r="E8" s="8">
        <f>($C$8)-$D$8</f>
        <v>-9.9999999999999645E-2</v>
      </c>
      <c r="F8" s="75">
        <v>11.8</v>
      </c>
      <c r="G8" s="8">
        <f>($C$8)-$F$8</f>
        <v>-0.70000000000000107</v>
      </c>
      <c r="H8" s="25"/>
    </row>
    <row r="9" spans="1:8" x14ac:dyDescent="0.2">
      <c r="A9" s="25">
        <v>7</v>
      </c>
      <c r="B9" s="29" t="s">
        <v>54</v>
      </c>
      <c r="C9" s="30">
        <v>13.5</v>
      </c>
      <c r="D9" s="75">
        <v>13.9</v>
      </c>
      <c r="E9" s="8">
        <f>($C$9)-$D$9</f>
        <v>-0.40000000000000036</v>
      </c>
      <c r="F9" s="75">
        <v>13.3</v>
      </c>
      <c r="G9" s="8">
        <f>($C$9)-$F$9</f>
        <v>0.19999999999999929</v>
      </c>
      <c r="H9" s="25"/>
    </row>
    <row r="10" spans="1:8" x14ac:dyDescent="0.2">
      <c r="A10" s="25">
        <v>8</v>
      </c>
      <c r="B10" s="29" t="s">
        <v>55</v>
      </c>
      <c r="C10" s="30">
        <v>8.1999999999999993</v>
      </c>
      <c r="D10" s="75">
        <v>7.9</v>
      </c>
      <c r="E10" s="8">
        <f>($C$10)-$D$10</f>
        <v>0.29999999999999893</v>
      </c>
      <c r="F10" s="75">
        <v>8.6</v>
      </c>
      <c r="G10" s="8">
        <f>($C$10)-$F$10</f>
        <v>-0.40000000000000036</v>
      </c>
      <c r="H10" s="25"/>
    </row>
    <row r="11" spans="1:8" x14ac:dyDescent="0.2">
      <c r="A11" s="25">
        <v>9</v>
      </c>
      <c r="B11" s="29" t="s">
        <v>56</v>
      </c>
      <c r="C11" s="30">
        <v>9.1999999999999993</v>
      </c>
      <c r="D11" s="75">
        <v>9</v>
      </c>
      <c r="E11" s="8">
        <f>($C$11)-$D$11</f>
        <v>0.19999999999999929</v>
      </c>
      <c r="F11" s="75">
        <v>8.3000000000000007</v>
      </c>
      <c r="G11" s="8">
        <f>($C$11)-$F$11</f>
        <v>0.89999999999999858</v>
      </c>
      <c r="H11" s="25"/>
    </row>
    <row r="12" spans="1:8" ht="15" x14ac:dyDescent="0.25">
      <c r="A12" s="25">
        <v>10</v>
      </c>
      <c r="B12" s="32" t="s">
        <v>57</v>
      </c>
      <c r="C12" s="33">
        <v>19.399999999999999</v>
      </c>
      <c r="D12" s="71">
        <v>19.399999999999999</v>
      </c>
      <c r="E12" s="34">
        <f>($C$12)-$D$12</f>
        <v>0</v>
      </c>
      <c r="F12" s="71">
        <v>19.7</v>
      </c>
      <c r="G12" s="34">
        <f>($C$12)-$F$12</f>
        <v>-0.30000000000000071</v>
      </c>
      <c r="H12" s="28"/>
    </row>
    <row r="13" spans="1:8" x14ac:dyDescent="0.2">
      <c r="A13" s="25">
        <v>11</v>
      </c>
      <c r="B13" s="29" t="s">
        <v>58</v>
      </c>
      <c r="C13" s="30">
        <v>15.2</v>
      </c>
      <c r="D13" s="75">
        <v>15.2</v>
      </c>
      <c r="E13" s="8">
        <f>($C$13)-$D$13</f>
        <v>0</v>
      </c>
      <c r="F13" s="75">
        <v>15.3</v>
      </c>
      <c r="G13" s="8">
        <f>($C$13)-$F$13</f>
        <v>-0.10000000000000142</v>
      </c>
      <c r="H13" s="25"/>
    </row>
    <row r="14" spans="1:8" x14ac:dyDescent="0.2">
      <c r="A14" s="25">
        <v>12</v>
      </c>
      <c r="B14" s="29" t="s">
        <v>59</v>
      </c>
      <c r="C14" s="30">
        <v>10.8</v>
      </c>
      <c r="D14" s="75">
        <v>11</v>
      </c>
      <c r="E14" s="8">
        <f>($C$14)-$D$14</f>
        <v>-0.19999999999999929</v>
      </c>
      <c r="F14" s="75">
        <v>11.1</v>
      </c>
      <c r="G14" s="8">
        <f>($C$14)-$F$14</f>
        <v>-0.29999999999999893</v>
      </c>
      <c r="H14" s="25"/>
    </row>
    <row r="15" spans="1:8" x14ac:dyDescent="0.2">
      <c r="A15" s="25">
        <v>13</v>
      </c>
      <c r="B15" s="29" t="s">
        <v>60</v>
      </c>
      <c r="C15" s="30">
        <v>10</v>
      </c>
      <c r="D15" s="75">
        <v>10.199999999999999</v>
      </c>
      <c r="E15" s="8">
        <f>($C$15)-$D$15</f>
        <v>-0.19999999999999929</v>
      </c>
      <c r="F15" s="75">
        <v>10.5</v>
      </c>
      <c r="G15" s="8">
        <f>($C$15)-$F$15</f>
        <v>-0.5</v>
      </c>
      <c r="H15" s="25"/>
    </row>
    <row r="16" spans="1:8" x14ac:dyDescent="0.2">
      <c r="A16" s="25">
        <v>14</v>
      </c>
      <c r="B16" s="29" t="s">
        <v>61</v>
      </c>
      <c r="C16" s="30">
        <v>5.2</v>
      </c>
      <c r="D16" s="75">
        <v>5.2</v>
      </c>
      <c r="E16" s="8">
        <f>($C$16)-$D$16</f>
        <v>0</v>
      </c>
      <c r="F16" s="75">
        <v>4.8</v>
      </c>
      <c r="G16" s="8">
        <f>($C$16)-$F$16</f>
        <v>0.40000000000000036</v>
      </c>
      <c r="H16" s="25"/>
    </row>
    <row r="17" spans="1:8" x14ac:dyDescent="0.2">
      <c r="A17" s="25">
        <v>15</v>
      </c>
      <c r="B17" s="29" t="s">
        <v>62</v>
      </c>
      <c r="C17" s="30">
        <v>16.7</v>
      </c>
      <c r="D17" s="75">
        <v>17.2</v>
      </c>
      <c r="E17" s="8">
        <f>($C$17)-$D$17</f>
        <v>-0.5</v>
      </c>
      <c r="F17" s="75">
        <v>17.3</v>
      </c>
      <c r="G17" s="8">
        <f>($C$17)-$F$17</f>
        <v>-0.60000000000000142</v>
      </c>
      <c r="H17" s="25"/>
    </row>
    <row r="18" spans="1:8" x14ac:dyDescent="0.2">
      <c r="A18" s="25">
        <v>16</v>
      </c>
      <c r="B18" s="29" t="s">
        <v>63</v>
      </c>
      <c r="C18" s="30">
        <v>16.100000000000001</v>
      </c>
      <c r="D18" s="75">
        <v>16.399999999999999</v>
      </c>
      <c r="E18" s="8">
        <f>($C$18)-$D$18</f>
        <v>-0.29999999999999716</v>
      </c>
      <c r="F18" s="75">
        <v>16.399999999999999</v>
      </c>
      <c r="G18" s="8">
        <f>($C$18)-$F$18</f>
        <v>-0.29999999999999716</v>
      </c>
      <c r="H18" s="25"/>
    </row>
    <row r="19" spans="1:8" x14ac:dyDescent="0.2">
      <c r="A19" s="25">
        <v>17</v>
      </c>
      <c r="B19" s="29" t="s">
        <v>64</v>
      </c>
      <c r="C19" s="30">
        <v>13.6</v>
      </c>
      <c r="D19" s="75">
        <v>13.9</v>
      </c>
      <c r="E19" s="8">
        <f>($C$19)-$D$19</f>
        <v>-0.30000000000000071</v>
      </c>
      <c r="F19" s="75">
        <v>14.3</v>
      </c>
      <c r="G19" s="8">
        <f>($C$19)-$F$19</f>
        <v>-0.70000000000000107</v>
      </c>
      <c r="H19" s="25"/>
    </row>
    <row r="20" spans="1:8" x14ac:dyDescent="0.2">
      <c r="A20" s="25">
        <v>18</v>
      </c>
      <c r="B20" s="29" t="s">
        <v>65</v>
      </c>
      <c r="C20" s="30">
        <v>10.8</v>
      </c>
      <c r="D20" s="75">
        <v>10.9</v>
      </c>
      <c r="E20" s="8">
        <f>($C$20)-$D$20</f>
        <v>-9.9999999999999645E-2</v>
      </c>
      <c r="F20" s="75">
        <v>11.4</v>
      </c>
      <c r="G20" s="8">
        <f>($C$20)-$F$20</f>
        <v>-0.59999999999999964</v>
      </c>
      <c r="H20" s="25"/>
    </row>
    <row r="21" spans="1:8" x14ac:dyDescent="0.2">
      <c r="A21" s="25">
        <v>19</v>
      </c>
      <c r="B21" s="29" t="s">
        <v>66</v>
      </c>
      <c r="C21" s="30">
        <v>7.8</v>
      </c>
      <c r="D21" s="75">
        <v>7.8</v>
      </c>
      <c r="E21" s="8">
        <f>($C$21)-$D$21</f>
        <v>0</v>
      </c>
      <c r="F21" s="75">
        <v>8.3000000000000007</v>
      </c>
      <c r="G21" s="8">
        <f>($C$21)-$F$21</f>
        <v>-0.50000000000000089</v>
      </c>
      <c r="H21" s="25"/>
    </row>
    <row r="22" spans="1:8" x14ac:dyDescent="0.2">
      <c r="A22" s="25">
        <v>20</v>
      </c>
      <c r="B22" s="29" t="s">
        <v>67</v>
      </c>
      <c r="C22" s="30">
        <v>8.5</v>
      </c>
      <c r="D22" s="75">
        <v>8.5</v>
      </c>
      <c r="E22" s="8">
        <f>($C$22)-$D$22</f>
        <v>0</v>
      </c>
      <c r="F22" s="75">
        <v>8.4</v>
      </c>
      <c r="G22" s="8">
        <f>($C$22)-$F$22</f>
        <v>9.9999999999999645E-2</v>
      </c>
      <c r="H22" s="25"/>
    </row>
    <row r="23" spans="1:8" x14ac:dyDescent="0.2">
      <c r="A23" s="25">
        <v>21</v>
      </c>
      <c r="B23" s="29" t="s">
        <v>68</v>
      </c>
      <c r="C23" s="30">
        <v>5.0999999999999996</v>
      </c>
      <c r="D23" s="75">
        <v>5.0999999999999996</v>
      </c>
      <c r="E23" s="8">
        <f>($C$23)-$D$23</f>
        <v>0</v>
      </c>
      <c r="F23" s="75">
        <v>5</v>
      </c>
      <c r="G23" s="8">
        <f>($C$23)-$F$23</f>
        <v>9.9999999999999645E-2</v>
      </c>
      <c r="H23" s="25"/>
    </row>
    <row r="24" spans="1:8" x14ac:dyDescent="0.2">
      <c r="A24" s="25">
        <v>22</v>
      </c>
      <c r="B24" s="29" t="s">
        <v>69</v>
      </c>
      <c r="C24" s="30">
        <v>17.600000000000001</v>
      </c>
      <c r="D24" s="75">
        <v>17.899999999999999</v>
      </c>
      <c r="E24" s="8">
        <f>($C$24)-$D$24</f>
        <v>-0.29999999999999716</v>
      </c>
      <c r="F24" s="75">
        <v>18.5</v>
      </c>
      <c r="G24" s="8">
        <f>($C$24)-$F$24</f>
        <v>-0.89999999999999858</v>
      </c>
      <c r="H24" s="25"/>
    </row>
    <row r="25" spans="1:8" x14ac:dyDescent="0.2">
      <c r="A25" s="25">
        <v>23</v>
      </c>
      <c r="B25" s="29" t="s">
        <v>70</v>
      </c>
      <c r="C25" s="30">
        <v>7.9</v>
      </c>
      <c r="D25" s="75">
        <v>7.9</v>
      </c>
      <c r="E25" s="8">
        <f>($C$25)-$D$25</f>
        <v>0</v>
      </c>
      <c r="F25" s="75">
        <v>8.1</v>
      </c>
      <c r="G25" s="8">
        <f>($C$25)-$F$25</f>
        <v>-0.19999999999999929</v>
      </c>
      <c r="H25" s="25"/>
    </row>
    <row r="26" spans="1:8" x14ac:dyDescent="0.2">
      <c r="A26" s="25">
        <v>24</v>
      </c>
      <c r="B26" s="29" t="s">
        <v>71</v>
      </c>
      <c r="C26" s="35">
        <v>3.3</v>
      </c>
      <c r="D26" s="75">
        <v>3.3</v>
      </c>
      <c r="E26" s="8">
        <f>($C$26)-$D$26</f>
        <v>0</v>
      </c>
      <c r="F26" s="75">
        <v>3</v>
      </c>
      <c r="G26" s="8">
        <f>($C$26)-$F$26</f>
        <v>0.29999999999999982</v>
      </c>
      <c r="H26" s="25"/>
    </row>
    <row r="27" spans="1:8" x14ac:dyDescent="0.2">
      <c r="A27" s="25">
        <v>25</v>
      </c>
      <c r="B27" s="29" t="s">
        <v>72</v>
      </c>
      <c r="C27" s="30">
        <v>10.6</v>
      </c>
      <c r="D27" s="75">
        <v>10.7</v>
      </c>
      <c r="E27" s="8">
        <f>($C$27)-$D$27</f>
        <v>-9.9999999999999645E-2</v>
      </c>
      <c r="F27" s="75">
        <v>10.8</v>
      </c>
      <c r="G27" s="8">
        <f>($C$27)-$F$27</f>
        <v>-0.20000000000000107</v>
      </c>
      <c r="H27" s="25"/>
    </row>
    <row r="28" spans="1:8" x14ac:dyDescent="0.2">
      <c r="A28" s="25">
        <v>26</v>
      </c>
      <c r="B28" s="29" t="s">
        <v>73</v>
      </c>
      <c r="C28" s="30">
        <v>4.2</v>
      </c>
      <c r="D28" s="75">
        <v>4.2</v>
      </c>
      <c r="E28" s="8">
        <f>($C$28)-$D$28</f>
        <v>0</v>
      </c>
      <c r="F28" s="75">
        <v>4.5</v>
      </c>
      <c r="G28" s="8">
        <f>($C$28)-$F$28</f>
        <v>-0.29999999999999982</v>
      </c>
      <c r="H28" s="25"/>
    </row>
    <row r="29" spans="1:8" x14ac:dyDescent="0.2">
      <c r="A29" s="25">
        <v>27</v>
      </c>
      <c r="B29" s="29" t="s">
        <v>74</v>
      </c>
      <c r="C29" s="30">
        <v>7.5</v>
      </c>
      <c r="D29" s="165">
        <v>7.5</v>
      </c>
      <c r="E29" s="8">
        <f>($C$29)-$D$29</f>
        <v>0</v>
      </c>
      <c r="F29" s="75">
        <v>7.5</v>
      </c>
      <c r="G29" s="8">
        <f>($C$29)-$F$29</f>
        <v>0</v>
      </c>
      <c r="H29" s="25"/>
    </row>
    <row r="30" spans="1:8" x14ac:dyDescent="0.2">
      <c r="B30" s="52" t="s">
        <v>119</v>
      </c>
      <c r="E30" s="28"/>
    </row>
    <row r="31" spans="1:8" x14ac:dyDescent="0.2">
      <c r="B31" s="151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25" customWidth="1"/>
    <col min="2" max="2" width="7" style="3" customWidth="1"/>
    <col min="3" max="3" width="31" style="3" customWidth="1"/>
    <col min="4" max="4" width="15.5703125" style="3" customWidth="1"/>
    <col min="5" max="5" width="15.28515625" style="3" customWidth="1"/>
    <col min="6" max="6" width="17.28515625" style="3" customWidth="1"/>
    <col min="7" max="7" width="15.7109375" style="3" customWidth="1"/>
    <col min="8" max="8" width="18.2851562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88</v>
      </c>
    </row>
    <row r="2" spans="1:8" ht="15" x14ac:dyDescent="0.2">
      <c r="C2" s="20"/>
      <c r="D2" s="21"/>
    </row>
    <row r="3" spans="1:8" ht="57" x14ac:dyDescent="0.2">
      <c r="B3" s="62" t="s">
        <v>86</v>
      </c>
      <c r="C3" s="55" t="str">
        <f>T('4s.bezr.pow.'!B2)</f>
        <v>powiaty</v>
      </c>
      <c r="D3" s="55" t="str">
        <f>T('4s.bezr.pow.'!C2)</f>
        <v>Stopa bezrobocia stan na 29-02-'24 r. w proc.*</v>
      </c>
      <c r="E3" s="55" t="str">
        <f>T('4s.bezr.pow.'!D2)</f>
        <v>Stopa bezrobocia stan na 31-01-'24 r. w proc. *</v>
      </c>
      <c r="F3" s="55" t="str">
        <f>T('4s.bezr.pow.'!E2)</f>
        <v>wzrost/spadek do poprzedniego miesiąca (pkt. proc.)</v>
      </c>
      <c r="G3" s="171" t="str">
        <f>T('4s.bezr.pow.'!F2)</f>
        <v>Stopa bezrobocia stan na 28-02-'23 r. w proc.*</v>
      </c>
      <c r="H3" s="55" t="str">
        <f>T('4s.bezr.pow.'!G2)</f>
        <v>wzrost/spadek do początku roku (pkt. proc.)</v>
      </c>
    </row>
    <row r="4" spans="1:8" x14ac:dyDescent="0.2">
      <c r="A4" s="25">
        <v>1</v>
      </c>
      <c r="B4" s="6">
        <f>RANK('4s.bezr.pow.'!C3,'4s.bezr.pow.'!$C$3:'4s.bezr.pow.'!$C$29,1)+COUNTIF('4s.bezr.pow.'!$C$3:'4s.bezr.pow.'!C3,'4s.bezr.pow.'!C3)-1</f>
        <v>6</v>
      </c>
      <c r="C4" s="36" t="str">
        <f>INDEX('4s.bezr.pow.'!B3:G29,MATCH(1,B4:B30,0),1)</f>
        <v>Powiat m.Krosno</v>
      </c>
      <c r="D4" s="28">
        <f>INDEX('4s.bezr.pow.'!B3:G29,MATCH(1,B4:B30,0),2)</f>
        <v>3.3</v>
      </c>
      <c r="E4" s="75">
        <f>INDEX('4s.bezr.pow.'!B3:G29,MATCH(1,B4:B30,0),3)</f>
        <v>3.3</v>
      </c>
      <c r="F4" s="24">
        <f>INDEX('4s.bezr.pow.'!B3:G29,MATCH(1,B4:B30,0),4)</f>
        <v>0</v>
      </c>
      <c r="G4" s="75">
        <f>INDEX('4s.bezr.pow.'!B3:G29,MATCH(1,B4:B30,0),5)</f>
        <v>3</v>
      </c>
      <c r="H4" s="24">
        <f>INDEX('4s.bezr.pow.'!B3:G29,MATCH(1,B4:B30,0),6)</f>
        <v>0.29999999999999982</v>
      </c>
    </row>
    <row r="5" spans="1:8" x14ac:dyDescent="0.2">
      <c r="A5" s="25">
        <v>2</v>
      </c>
      <c r="B5" s="6">
        <f>RANK('4s.bezr.pow.'!C4,'4s.bezr.pow.'!$C$3:'4s.bezr.pow.'!$C$29,1)+COUNTIF('4s.bezr.pow.'!$C$3:'4s.bezr.pow.'!C4,'4s.bezr.pow.'!C4)-1</f>
        <v>12</v>
      </c>
      <c r="C5" s="5" t="str">
        <f>INDEX('4s.bezr.pow.'!B3:G29,MATCH(2,B4:B30,0),1)</f>
        <v>Powiat m.Rzeszów</v>
      </c>
      <c r="D5" s="8">
        <f>INDEX('4s.bezr.pow.'!B3:G29,MATCH(2,B4:B30,0),2)</f>
        <v>4.2</v>
      </c>
      <c r="E5" s="75">
        <f>INDEX('4s.bezr.pow.'!B3:G29,MATCH(2,B4:B30,0),3)</f>
        <v>4.2</v>
      </c>
      <c r="F5" s="24">
        <f>INDEX('4s.bezr.pow.'!B3:G29,MATCH(2,B4:B30,0),4)</f>
        <v>0</v>
      </c>
      <c r="G5" s="75">
        <f>INDEX('4s.bezr.pow.'!B3:G29,MATCH(2,B4:B30,0),5)</f>
        <v>4.5</v>
      </c>
      <c r="H5" s="24">
        <f>INDEX('4s.bezr.pow.'!B3:G29,MATCH(2,B4:B30,0),6)</f>
        <v>-0.29999999999999982</v>
      </c>
    </row>
    <row r="6" spans="1:8" x14ac:dyDescent="0.2">
      <c r="A6" s="25">
        <v>3</v>
      </c>
      <c r="B6" s="6">
        <f>RANK('4s.bezr.pow.'!C5,'4s.bezr.pow.'!$C$3:'4s.bezr.pow.'!$C$29,1)+COUNTIF('4s.bezr.pow.'!$C$3:'4s.bezr.pow.'!C5,'4s.bezr.pow.'!C5)-1</f>
        <v>22</v>
      </c>
      <c r="C6" s="5" t="str">
        <f>INDEX('4s.bezr.pow.'!B3:G29,MATCH(3,B4:B30,0),1)</f>
        <v>Powiat dębicki</v>
      </c>
      <c r="D6" s="8">
        <f>INDEX('4s.bezr.pow.'!B3:G29,MATCH(3,B4:B30,0),2)</f>
        <v>5</v>
      </c>
      <c r="E6" s="75">
        <f>INDEX('4s.bezr.pow.'!B3:G29,MATCH(3,B4:B30,0),3)</f>
        <v>5.0999999999999996</v>
      </c>
      <c r="F6" s="24">
        <f>INDEX('4s.bezr.pow.'!B3:G29,MATCH(3,B4:B30,0),4)</f>
        <v>-9.9999999999999645E-2</v>
      </c>
      <c r="G6" s="75">
        <f>INDEX('4s.bezr.pow.'!B3:G29,MATCH(3,B4:B30,0),5)</f>
        <v>5.0999999999999996</v>
      </c>
      <c r="H6" s="24">
        <f>INDEX('4s.bezr.pow.'!B3:G29,MATCH(3,B4:B30,0),6)</f>
        <v>-9.9999999999999645E-2</v>
      </c>
    </row>
    <row r="7" spans="1:8" x14ac:dyDescent="0.2">
      <c r="A7" s="25">
        <v>4</v>
      </c>
      <c r="B7" s="6">
        <f>RANK('4s.bezr.pow.'!C6,'4s.bezr.pow.'!$C$3:'4s.bezr.pow.'!$C$29,1)+COUNTIF('4s.bezr.pow.'!$C$3:'4s.bezr.pow.'!C6,'4s.bezr.pow.'!C6)-1</f>
        <v>27</v>
      </c>
      <c r="C7" s="5" t="str">
        <f>INDEX('4s.bezr.pow.'!B3:G29,MATCH(4,B4:B30,0),1)</f>
        <v>Powiat stalowowolski</v>
      </c>
      <c r="D7" s="8">
        <f>INDEX('4s.bezr.pow.'!B3:G29,MATCH(4,B4:B30,0),2)</f>
        <v>5.0999999999999996</v>
      </c>
      <c r="E7" s="75">
        <f>INDEX('4s.bezr.pow.'!B3:G29,MATCH(4,B4:B30,0),3)</f>
        <v>5.0999999999999996</v>
      </c>
      <c r="F7" s="24">
        <f>INDEX('4s.bezr.pow.'!B3:G29,MATCH(4,B4:B30,0),4)</f>
        <v>0</v>
      </c>
      <c r="G7" s="75">
        <f>INDEX('4s.bezr.pow.'!B3:G29,MATCH(4,B4:B30,0),5)</f>
        <v>5</v>
      </c>
      <c r="H7" s="24">
        <f>INDEX('4s.bezr.pow.'!B3:G29,MATCH(4,B4:B30,0),6)</f>
        <v>9.9999999999999645E-2</v>
      </c>
    </row>
    <row r="8" spans="1:8" x14ac:dyDescent="0.2">
      <c r="A8" s="25">
        <v>5</v>
      </c>
      <c r="B8" s="6">
        <f>RANK('4s.bezr.pow.'!C7,'4s.bezr.pow.'!$C$3:'4s.bezr.pow.'!$C$29,1)+COUNTIF('4s.bezr.pow.'!$C$3:'4s.bezr.pow.'!C7,'4s.bezr.pow.'!C7)-1</f>
        <v>3</v>
      </c>
      <c r="C8" s="5" t="str">
        <f>INDEX('4s.bezr.pow.'!B3:G29,MATCH(5,B4:B30,0),1)</f>
        <v>Powiat mielecki</v>
      </c>
      <c r="D8" s="8">
        <f>INDEX('4s.bezr.pow.'!B3:G29,MATCH(5,B4:B30,0),2)</f>
        <v>5.2</v>
      </c>
      <c r="E8" s="75">
        <f>INDEX('4s.bezr.pow.'!B3:G29,MATCH(5,B4:B30,0),3)</f>
        <v>5.2</v>
      </c>
      <c r="F8" s="24">
        <f>INDEX('4s.bezr.pow.'!B3:G29,MATCH(5,B4:B30,0),4)</f>
        <v>0</v>
      </c>
      <c r="G8" s="75">
        <f>INDEX('4s.bezr.pow.'!B3:G29,MATCH(5,B4:B30,0),5)</f>
        <v>4.8</v>
      </c>
      <c r="H8" s="24">
        <f>INDEX('4s.bezr.pow.'!B3:G29,MATCH(5,B4:B30,0),6)</f>
        <v>0.40000000000000036</v>
      </c>
    </row>
    <row r="9" spans="1:8" x14ac:dyDescent="0.2">
      <c r="A9" s="25">
        <v>6</v>
      </c>
      <c r="B9" s="6">
        <f>RANK('4s.bezr.pow.'!C8,'4s.bezr.pow.'!$C$3:'4s.bezr.pow.'!$C$29,1)+COUNTIF('4s.bezr.pow.'!$C$3:'4s.bezr.pow.'!C8,'4s.bezr.pow.'!C8)-1</f>
        <v>18</v>
      </c>
      <c r="C9" s="5" t="str">
        <f>INDEX('4s.bezr.pow.'!B3:G29,MATCH(6,B4:B30,0),1)</f>
        <v>POLSKA</v>
      </c>
      <c r="D9" s="8">
        <f>INDEX('4s.bezr.pow.'!B3:G29,MATCH(6,B4:B30,0),2)</f>
        <v>5.4</v>
      </c>
      <c r="E9" s="75">
        <f>INDEX('4s.bezr.pow.'!B3:G29,MATCH(6,B4:B30,0),3)</f>
        <v>5.4</v>
      </c>
      <c r="F9" s="24">
        <f>INDEX('4s.bezr.pow.'!B3:G29,MATCH(6,B4:B30,0),4)</f>
        <v>0</v>
      </c>
      <c r="G9" s="75">
        <f>INDEX('4s.bezr.pow.'!B3:G29,MATCH(6,B4:B30,0),5)</f>
        <v>5.6</v>
      </c>
      <c r="H9" s="24">
        <f>INDEX('4s.bezr.pow.'!B3:G29,MATCH(6,B4:B30,0),6)</f>
        <v>-0.19999999999999929</v>
      </c>
    </row>
    <row r="10" spans="1:8" x14ac:dyDescent="0.2">
      <c r="A10" s="25">
        <v>7</v>
      </c>
      <c r="B10" s="6">
        <f>RANK('4s.bezr.pow.'!C9,'4s.bezr.pow.'!$C$3:'4s.bezr.pow.'!$C$29,1)+COUNTIF('4s.bezr.pow.'!$C$3:'4s.bezr.pow.'!C9,'4s.bezr.pow.'!C9)-1</f>
        <v>19</v>
      </c>
      <c r="C10" s="9" t="str">
        <f>INDEX('4s.bezr.pow.'!B3:G29,MATCH(7,B4:B30,0),1)</f>
        <v>Powiat m.Tarnobrzeg</v>
      </c>
      <c r="D10" s="8">
        <f>INDEX('4s.bezr.pow.'!B3:G29,MATCH(7,B4:B30,0),2)</f>
        <v>7.5</v>
      </c>
      <c r="E10" s="75">
        <f>INDEX('4s.bezr.pow.'!B3:G29,MATCH(7,B4:B30,0),3)</f>
        <v>7.5</v>
      </c>
      <c r="F10" s="24">
        <f>INDEX('4s.bezr.pow.'!B3:G29,MATCH(7,B4:B30,0),4)</f>
        <v>0</v>
      </c>
      <c r="G10" s="75">
        <f>INDEX('4s.bezr.pow.'!B3:G29,MATCH(7,B4:B30,0),5)</f>
        <v>7.5</v>
      </c>
      <c r="H10" s="24">
        <f>INDEX('4s.bezr.pow.'!B3:G29,MATCH(7,B4:B30,0),6)</f>
        <v>0</v>
      </c>
    </row>
    <row r="11" spans="1:8" x14ac:dyDescent="0.2">
      <c r="A11" s="25">
        <v>8</v>
      </c>
      <c r="B11" s="6">
        <f>RANK('4s.bezr.pow.'!C10,'4s.bezr.pow.'!$C$3:'4s.bezr.pow.'!$C$29,1)+COUNTIF('4s.bezr.pow.'!$C$3:'4s.bezr.pow.'!C10,'4s.bezr.pow.'!C10)-1</f>
        <v>10</v>
      </c>
      <c r="C11" s="5" t="str">
        <f>INDEX('4s.bezr.pow.'!B3:G29,MATCH(8,B4:B30,0),1)</f>
        <v>Powiat rzeszowski</v>
      </c>
      <c r="D11" s="8">
        <f>INDEX('4s.bezr.pow.'!B3:G29,MATCH(8,B4:B30,0),2)</f>
        <v>7.8</v>
      </c>
      <c r="E11" s="75">
        <f>INDEX('4s.bezr.pow.'!B3:G29,MATCH(8,B4:B30,0),3)</f>
        <v>7.8</v>
      </c>
      <c r="F11" s="24">
        <f>INDEX('4s.bezr.pow.'!B3:G29,MATCH(8,B4:B30,0),4)</f>
        <v>0</v>
      </c>
      <c r="G11" s="75">
        <f>INDEX('4s.bezr.pow.'!B3:G29,MATCH(8,B4:B30,0),5)</f>
        <v>8.3000000000000007</v>
      </c>
      <c r="H11" s="24">
        <f>INDEX('4s.bezr.pow.'!B3:G29,MATCH(8,B4:B30,0),6)</f>
        <v>-0.50000000000000089</v>
      </c>
    </row>
    <row r="12" spans="1:8" x14ac:dyDescent="0.2">
      <c r="A12" s="25">
        <v>9</v>
      </c>
      <c r="B12" s="6">
        <f>RANK('4s.bezr.pow.'!C11,'4s.bezr.pow.'!$C$3:'4s.bezr.pow.'!$C$29,1)+COUNTIF('4s.bezr.pow.'!$C$3:'4s.bezr.pow.'!C11,'4s.bezr.pow.'!C11)-1</f>
        <v>13</v>
      </c>
      <c r="C12" s="5" t="str">
        <f>INDEX('4s.bezr.pow.'!B3:G29,MATCH(9,B4:B30,0),1)</f>
        <v>Powiat tarnobrzeski</v>
      </c>
      <c r="D12" s="8">
        <f>INDEX('4s.bezr.pow.'!B3:G29,MATCH(9,B4:B30,0),2)</f>
        <v>7.9</v>
      </c>
      <c r="E12" s="75">
        <f>INDEX('4s.bezr.pow.'!B3:G29,MATCH(9,B4:B30,0),3)</f>
        <v>7.9</v>
      </c>
      <c r="F12" s="24">
        <f>INDEX('4s.bezr.pow.'!B3:G29,MATCH(9,B4:B30,0),4)</f>
        <v>0</v>
      </c>
      <c r="G12" s="75">
        <f>INDEX('4s.bezr.pow.'!B3:G29,MATCH(9,B4:B30,0),5)</f>
        <v>8.1</v>
      </c>
      <c r="H12" s="24">
        <f>INDEX('4s.bezr.pow.'!B3:G29,MATCH(9,B4:B30,0),6)</f>
        <v>-0.19999999999999929</v>
      </c>
    </row>
    <row r="13" spans="1:8" x14ac:dyDescent="0.2">
      <c r="A13" s="25">
        <v>10</v>
      </c>
      <c r="B13" s="6">
        <f>RANK('4s.bezr.pow.'!C12,'4s.bezr.pow.'!$C$3:'4s.bezr.pow.'!$C$29,1)+COUNTIF('4s.bezr.pow.'!$C$3:'4s.bezr.pow.'!C12,'4s.bezr.pow.'!C12)-1</f>
        <v>26</v>
      </c>
      <c r="C13" s="5" t="str">
        <f>INDEX('4s.bezr.pow.'!B3:G29,MATCH(10,B4:B30,0),1)</f>
        <v>Powiat kolbuszowski</v>
      </c>
      <c r="D13" s="8">
        <f>INDEX('4s.bezr.pow.'!B3:G29,MATCH(10,B4:B30,0),2)</f>
        <v>8.1999999999999993</v>
      </c>
      <c r="E13" s="75">
        <f>INDEX('4s.bezr.pow.'!B3:G29,MATCH(10,B4:B30,0),3)</f>
        <v>7.9</v>
      </c>
      <c r="F13" s="24">
        <f>INDEX('4s.bezr.pow.'!B3:G29,MATCH(10,B4:B30,0),4)</f>
        <v>0.29999999999999893</v>
      </c>
      <c r="G13" s="75">
        <f>INDEX('4s.bezr.pow.'!B3:G29,MATCH(10,B4:B30,0),5)</f>
        <v>8.6</v>
      </c>
      <c r="H13" s="24">
        <f>INDEX('4s.bezr.pow.'!B3:G29,MATCH(10,B4:B30,0),6)</f>
        <v>-0.40000000000000036</v>
      </c>
    </row>
    <row r="14" spans="1:8" x14ac:dyDescent="0.2">
      <c r="A14" s="25">
        <v>11</v>
      </c>
      <c r="B14" s="6">
        <f>RANK('4s.bezr.pow.'!C13,'4s.bezr.pow.'!$C$3:'4s.bezr.pow.'!$C$29,1)+COUNTIF('4s.bezr.pow.'!$C$3:'4s.bezr.pow.'!C13,'4s.bezr.pow.'!C13)-1</f>
        <v>21</v>
      </c>
      <c r="C14" s="5" t="str">
        <f>INDEX('4s.bezr.pow.'!B3:G29,MATCH(11,B4:B30,0),1)</f>
        <v>Powiat sanocki</v>
      </c>
      <c r="D14" s="8">
        <f>INDEX('4s.bezr.pow.'!B3:G29,MATCH(11,B4:B30,0),2)</f>
        <v>8.5</v>
      </c>
      <c r="E14" s="75">
        <f>INDEX('4s.bezr.pow.'!B3:G29,MATCH(11,B4:B30,0),3)</f>
        <v>8.5</v>
      </c>
      <c r="F14" s="24">
        <f>INDEX('4s.bezr.pow.'!B3:G29,MATCH(11,B4:B30,0),4)</f>
        <v>0</v>
      </c>
      <c r="G14" s="75">
        <f>INDEX('4s.bezr.pow.'!B3:G29,MATCH(11,B4:B30,0),5)</f>
        <v>8.4</v>
      </c>
      <c r="H14" s="24">
        <f>INDEX('4s.bezr.pow.'!B3:G29,MATCH(11,B4:B30,0),6)</f>
        <v>9.9999999999999645E-2</v>
      </c>
    </row>
    <row r="15" spans="1:8" x14ac:dyDescent="0.2">
      <c r="A15" s="25">
        <v>12</v>
      </c>
      <c r="B15" s="6">
        <f>RANK('4s.bezr.pow.'!C14,'4s.bezr.pow.'!$C$3:'4s.bezr.pow.'!$C$29,1)+COUNTIF('4s.bezr.pow.'!$C$3:'4s.bezr.pow.'!C14,'4s.bezr.pow.'!C14)-1</f>
        <v>16</v>
      </c>
      <c r="C15" s="37" t="str">
        <f>INDEX('4s.bezr.pow.'!B3:G29,MATCH(12,B4:B30,0),1)</f>
        <v>PODKARPACKIE</v>
      </c>
      <c r="D15" s="8">
        <f>INDEX('4s.bezr.pow.'!B3:G29,MATCH(12,B4:B30,0),2)</f>
        <v>9</v>
      </c>
      <c r="E15" s="75">
        <f>INDEX('4s.bezr.pow.'!B3:G29,MATCH(12,B4:B30,0),3)</f>
        <v>9</v>
      </c>
      <c r="F15" s="24">
        <f>INDEX('4s.bezr.pow.'!B3:G29,MATCH(12,B4:B30,0),4)</f>
        <v>0</v>
      </c>
      <c r="G15" s="75">
        <f>INDEX('4s.bezr.pow.'!B3:G29,MATCH(12,B4:B30,0),5)</f>
        <v>9.1999999999999993</v>
      </c>
      <c r="H15" s="24">
        <f>INDEX('4s.bezr.pow.'!B3:G29,MATCH(12,B4:B30,0),6)</f>
        <v>-0.19999999999999929</v>
      </c>
    </row>
    <row r="16" spans="1:8" x14ac:dyDescent="0.2">
      <c r="A16" s="25">
        <v>13</v>
      </c>
      <c r="B16" s="6">
        <f>RANK('4s.bezr.pow.'!C15,'4s.bezr.pow.'!$C$3:'4s.bezr.pow.'!$C$29,1)+COUNTIF('4s.bezr.pow.'!$C$3:'4s.bezr.pow.'!C15,'4s.bezr.pow.'!C15)-1</f>
        <v>14</v>
      </c>
      <c r="C16" s="5" t="str">
        <f>INDEX('4s.bezr.pow.'!B3:G29,MATCH(13,B4:B30,0),1)</f>
        <v>Powiat krośnieński</v>
      </c>
      <c r="D16" s="8">
        <f>INDEX('4s.bezr.pow.'!B3:G29,MATCH(13,B4:B30,0),2)</f>
        <v>9.1999999999999993</v>
      </c>
      <c r="E16" s="75">
        <f>INDEX('4s.bezr.pow.'!B3:G29,MATCH(13,B4:B30,0),3)</f>
        <v>9</v>
      </c>
      <c r="F16" s="24">
        <f>INDEX('4s.bezr.pow.'!B3:G29,MATCH(13,B4:B30,0),4)</f>
        <v>0.19999999999999929</v>
      </c>
      <c r="G16" s="75">
        <f>INDEX('4s.bezr.pow.'!B3:G29,MATCH(13,B4:B30,0),5)</f>
        <v>8.3000000000000007</v>
      </c>
      <c r="H16" s="24">
        <f>INDEX('4s.bezr.pow.'!B3:G29,MATCH(13,B4:B30,0),6)</f>
        <v>0.89999999999999858</v>
      </c>
    </row>
    <row r="17" spans="1:8" x14ac:dyDescent="0.2">
      <c r="A17" s="25">
        <v>14</v>
      </c>
      <c r="B17" s="6">
        <f>RANK('4s.bezr.pow.'!C16,'4s.bezr.pow.'!$C$3:'4s.bezr.pow.'!$C$29,1)+COUNTIF('4s.bezr.pow.'!$C$3:'4s.bezr.pow.'!C16,'4s.bezr.pow.'!C16)-1</f>
        <v>5</v>
      </c>
      <c r="C17" s="5" t="str">
        <f>INDEX('4s.bezr.pow.'!B3:G29,MATCH(14,B4:B30,0),1)</f>
        <v>Powiat łańcucki</v>
      </c>
      <c r="D17" s="8">
        <f>INDEX('4s.bezr.pow.'!B3:G29,MATCH(14,B4:B30,0),2)</f>
        <v>10</v>
      </c>
      <c r="E17" s="75">
        <f>INDEX('4s.bezr.pow.'!B3:G29,MATCH(14,B4:B30,0),3)</f>
        <v>10.199999999999999</v>
      </c>
      <c r="F17" s="24">
        <f>INDEX('4s.bezr.pow.'!B3:G29,MATCH(14,B4:B30,0),4)</f>
        <v>-0.19999999999999929</v>
      </c>
      <c r="G17" s="75">
        <f>INDEX('4s.bezr.pow.'!B3:G29,MATCH(14,B4:B30,0),5)</f>
        <v>10.5</v>
      </c>
      <c r="H17" s="24">
        <f>INDEX('4s.bezr.pow.'!B3:G29,MATCH(14,B4:B30,0),6)</f>
        <v>-0.5</v>
      </c>
    </row>
    <row r="18" spans="1:8" x14ac:dyDescent="0.2">
      <c r="A18" s="25">
        <v>15</v>
      </c>
      <c r="B18" s="6">
        <f>RANK('4s.bezr.pow.'!C17,'4s.bezr.pow.'!$C$3:'4s.bezr.pow.'!$C$29,1)+COUNTIF('4s.bezr.pow.'!$C$3:'4s.bezr.pow.'!C17,'4s.bezr.pow.'!C17)-1</f>
        <v>24</v>
      </c>
      <c r="C18" s="5" t="str">
        <f>INDEX('4s.bezr.pow.'!B3:G29,MATCH(15,B4:B30,0),1)</f>
        <v>Powiat m.Przemyśl</v>
      </c>
      <c r="D18" s="8">
        <f>INDEX('4s.bezr.pow.'!B3:G29,MATCH(15,B4:B30,0),2)</f>
        <v>10.6</v>
      </c>
      <c r="E18" s="75">
        <f>INDEX('4s.bezr.pow.'!B3:G29,MATCH(15,B4:B30,0),3)</f>
        <v>10.7</v>
      </c>
      <c r="F18" s="24">
        <f>INDEX('4s.bezr.pow.'!B3:G29,MATCH(15,B4:B30,0),4)</f>
        <v>-9.9999999999999645E-2</v>
      </c>
      <c r="G18" s="75">
        <f>INDEX('4s.bezr.pow.'!B3:G29,MATCH(15,B4:B30,0),5)</f>
        <v>10.8</v>
      </c>
      <c r="H18" s="24">
        <f>INDEX('4s.bezr.pow.'!B3:G29,MATCH(15,B4:B30,0),6)</f>
        <v>-0.20000000000000107</v>
      </c>
    </row>
    <row r="19" spans="1:8" x14ac:dyDescent="0.2">
      <c r="A19" s="25">
        <v>16</v>
      </c>
      <c r="B19" s="6">
        <f>RANK('4s.bezr.pow.'!C18,'4s.bezr.pow.'!$C$3:'4s.bezr.pow.'!$C$29,1)+COUNTIF('4s.bezr.pow.'!$C$3:'4s.bezr.pow.'!C18,'4s.bezr.pow.'!C18)-1</f>
        <v>23</v>
      </c>
      <c r="C19" s="5" t="str">
        <f>INDEX('4s.bezr.pow.'!B3:G29,MATCH(16,B4:B30,0),1)</f>
        <v>Powiat lubaczowski</v>
      </c>
      <c r="D19" s="8">
        <f>INDEX('4s.bezr.pow.'!B3:G29,MATCH(16,B4:B30,0),2)</f>
        <v>10.8</v>
      </c>
      <c r="E19" s="75">
        <f>INDEX('4s.bezr.pow.'!B3:G29,MATCH(16,B4:B30,0),3)</f>
        <v>11</v>
      </c>
      <c r="F19" s="24">
        <f>INDEX('4s.bezr.pow.'!B3:G29,MATCH(16,B4:B30,0),4)</f>
        <v>-0.19999999999999929</v>
      </c>
      <c r="G19" s="75">
        <f>INDEX('4s.bezr.pow.'!B3:G29,MATCH(16,B4:B30,0),5)</f>
        <v>11.1</v>
      </c>
      <c r="H19" s="24">
        <f>INDEX('4s.bezr.pow.'!B3:G29,MATCH(16,B4:B30,0),6)</f>
        <v>-0.29999999999999893</v>
      </c>
    </row>
    <row r="20" spans="1:8" x14ac:dyDescent="0.2">
      <c r="A20" s="25">
        <v>17</v>
      </c>
      <c r="B20" s="6">
        <f>RANK('4s.bezr.pow.'!C19,'4s.bezr.pow.'!$C$3:'4s.bezr.pow.'!$C$29,1)+COUNTIF('4s.bezr.pow.'!$C$3:'4s.bezr.pow.'!C19,'4s.bezr.pow.'!C19)-1</f>
        <v>20</v>
      </c>
      <c r="C20" s="5" t="str">
        <f>INDEX('4s.bezr.pow.'!B3:G29,MATCH(17,B4:B30,0),1)</f>
        <v>Powiat ropczycko-sędziszowski</v>
      </c>
      <c r="D20" s="8">
        <f>INDEX('4s.bezr.pow.'!B3:G29,MATCH(17,B4:B30,0),2)</f>
        <v>10.8</v>
      </c>
      <c r="E20" s="75">
        <f>INDEX('4s.bezr.pow.'!B3:G29,MATCH(17,B4:B30,0),3)</f>
        <v>10.9</v>
      </c>
      <c r="F20" s="24">
        <f>INDEX('4s.bezr.pow.'!B3:G29,MATCH(17,B4:B30,0),4)</f>
        <v>-9.9999999999999645E-2</v>
      </c>
      <c r="G20" s="75">
        <f>INDEX('4s.bezr.pow.'!B3:G29,MATCH(17,B4:B30,0),5)</f>
        <v>11.4</v>
      </c>
      <c r="H20" s="24">
        <f>INDEX('4s.bezr.pow.'!B3:G29,MATCH(17,B4:B30,0),6)</f>
        <v>-0.59999999999999964</v>
      </c>
    </row>
    <row r="21" spans="1:8" x14ac:dyDescent="0.2">
      <c r="A21" s="25">
        <v>18</v>
      </c>
      <c r="B21" s="6">
        <f>RANK('4s.bezr.pow.'!C20,'4s.bezr.pow.'!$C$3:'4s.bezr.pow.'!$C$29,1)+COUNTIF('4s.bezr.pow.'!$C$3:'4s.bezr.pow.'!C20,'4s.bezr.pow.'!C20)-1</f>
        <v>17</v>
      </c>
      <c r="C21" s="5" t="str">
        <f>INDEX('4s.bezr.pow.'!B3:G29,MATCH(18,B4:B30,0),1)</f>
        <v>Powiat jarosławski</v>
      </c>
      <c r="D21" s="8">
        <f>INDEX('4s.bezr.pow.'!B3:G29,MATCH(18,B4:B30,0),2)</f>
        <v>11.1</v>
      </c>
      <c r="E21" s="75">
        <f>INDEX('4s.bezr.pow.'!B3:G29,MATCH(18,B4:B30,0),3)</f>
        <v>11.2</v>
      </c>
      <c r="F21" s="24">
        <f>INDEX('4s.bezr.pow.'!B3:G29,MATCH(18,B4:B30,0),4)</f>
        <v>-9.9999999999999645E-2</v>
      </c>
      <c r="G21" s="75">
        <f>INDEX('4s.bezr.pow.'!B3:G29,MATCH(18,B4:B30,0),5)</f>
        <v>11.8</v>
      </c>
      <c r="H21" s="24">
        <f>INDEX('4s.bezr.pow.'!B3:G29,MATCH(18,B4:B30,0),6)</f>
        <v>-0.70000000000000107</v>
      </c>
    </row>
    <row r="22" spans="1:8" x14ac:dyDescent="0.2">
      <c r="A22" s="25">
        <v>19</v>
      </c>
      <c r="B22" s="6">
        <f>RANK('4s.bezr.pow.'!C21,'4s.bezr.pow.'!$C$3:'4s.bezr.pow.'!$C$29,1)+COUNTIF('4s.bezr.pow.'!$C$3:'4s.bezr.pow.'!C21,'4s.bezr.pow.'!C21)-1</f>
        <v>8</v>
      </c>
      <c r="C22" s="5" t="str">
        <f>INDEX('4s.bezr.pow.'!B3:G29,MATCH(19,B4:B30,0),1)</f>
        <v>Powiat jasielski</v>
      </c>
      <c r="D22" s="8">
        <f>INDEX('4s.bezr.pow.'!B3:G29,MATCH(19,B4:B30,0),2)</f>
        <v>13.5</v>
      </c>
      <c r="E22" s="75">
        <f>INDEX('4s.bezr.pow.'!B3:G29,MATCH(19,B4:B30,0),3)</f>
        <v>13.9</v>
      </c>
      <c r="F22" s="24">
        <f>INDEX('4s.bezr.pow.'!B3:G29,MATCH(19,B4:B30,0),4)</f>
        <v>-0.40000000000000036</v>
      </c>
      <c r="G22" s="75">
        <f>INDEX('4s.bezr.pow.'!B3:G29,MATCH(19,B4:B30,0),5)</f>
        <v>13.3</v>
      </c>
      <c r="H22" s="24">
        <f>INDEX('4s.bezr.pow.'!B3:G29,MATCH(19,B4:B30,0),6)</f>
        <v>0.19999999999999929</v>
      </c>
    </row>
    <row r="23" spans="1:8" x14ac:dyDescent="0.2">
      <c r="A23" s="25">
        <v>20</v>
      </c>
      <c r="B23" s="6">
        <f>RANK('4s.bezr.pow.'!C22,'4s.bezr.pow.'!$C$3:'4s.bezr.pow.'!$C$29,1)+COUNTIF('4s.bezr.pow.'!$C$3:'4s.bezr.pow.'!C22,'4s.bezr.pow.'!C22)-1</f>
        <v>11</v>
      </c>
      <c r="C23" s="5" t="str">
        <f>INDEX('4s.bezr.pow.'!B3:G29,MATCH(20,B4:B30,0),1)</f>
        <v>Powiat przeworski</v>
      </c>
      <c r="D23" s="8">
        <f>INDEX('4s.bezr.pow.'!B3:G29,MATCH(20,B4:B30,0),2)</f>
        <v>13.6</v>
      </c>
      <c r="E23" s="75">
        <f>INDEX('4s.bezr.pow.'!B3:G29,MATCH(20,B4:B30,0),3)</f>
        <v>13.9</v>
      </c>
      <c r="F23" s="24">
        <f>INDEX('4s.bezr.pow.'!B3:G29,MATCH(20,B4:B30,0),4)</f>
        <v>-0.30000000000000071</v>
      </c>
      <c r="G23" s="75">
        <f>INDEX('4s.bezr.pow.'!B3:G29,MATCH(20,B4:B30,0),5)</f>
        <v>14.3</v>
      </c>
      <c r="H23" s="24">
        <f>INDEX('4s.bezr.pow.'!B3:G29,MATCH(20,B4:B30,0),6)</f>
        <v>-0.70000000000000107</v>
      </c>
    </row>
    <row r="24" spans="1:8" x14ac:dyDescent="0.2">
      <c r="A24" s="25">
        <v>21</v>
      </c>
      <c r="B24" s="6">
        <f>RANK('4s.bezr.pow.'!C23,'4s.bezr.pow.'!$C$3:'4s.bezr.pow.'!$C$29,1)+COUNTIF('4s.bezr.pow.'!$C$3:'4s.bezr.pow.'!C23,'4s.bezr.pow.'!C23)-1</f>
        <v>4</v>
      </c>
      <c r="C24" s="5" t="str">
        <f>INDEX('4s.bezr.pow.'!B3:G29,MATCH(21,B4:B30,0),1)</f>
        <v>Powiat leżajski</v>
      </c>
      <c r="D24" s="8">
        <f>INDEX('4s.bezr.pow.'!B3:G29,MATCH(21,B4:B30,0),2)</f>
        <v>15.2</v>
      </c>
      <c r="E24" s="75">
        <f>INDEX('4s.bezr.pow.'!B3:G29,MATCH(21,B4:B30,0),3)</f>
        <v>15.2</v>
      </c>
      <c r="F24" s="24">
        <f>INDEX('4s.bezr.pow.'!B3:G29,MATCH(21,B4:B30,0),4)</f>
        <v>0</v>
      </c>
      <c r="G24" s="75">
        <f>INDEX('4s.bezr.pow.'!B3:G29,MATCH(21,B4:B30,0),5)</f>
        <v>15.3</v>
      </c>
      <c r="H24" s="24">
        <f>INDEX('4s.bezr.pow.'!B3:G29,MATCH(21,B4:B30,0),6)</f>
        <v>-0.10000000000000142</v>
      </c>
    </row>
    <row r="25" spans="1:8" x14ac:dyDescent="0.2">
      <c r="A25" s="25">
        <v>22</v>
      </c>
      <c r="B25" s="6">
        <f>RANK('4s.bezr.pow.'!C24,'4s.bezr.pow.'!$C$3:'4s.bezr.pow.'!$C$29,1)+COUNTIF('4s.bezr.pow.'!$C$3:'4s.bezr.pow.'!C24,'4s.bezr.pow.'!C24)-1</f>
        <v>25</v>
      </c>
      <c r="C25" s="5" t="str">
        <f>INDEX('4s.bezr.pow.'!B3:G29,MATCH(22,B4:B30,0),1)</f>
        <v>Powiat bieszczadzki</v>
      </c>
      <c r="D25" s="8">
        <f>INDEX('4s.bezr.pow.'!B3:G29,MATCH(22,B4:B30,0),2)</f>
        <v>15.4</v>
      </c>
      <c r="E25" s="75">
        <f>INDEX('4s.bezr.pow.'!B3:G29,MATCH(22,B4:B30,0),3)</f>
        <v>16</v>
      </c>
      <c r="F25" s="24">
        <f>INDEX('4s.bezr.pow.'!B3:G29,MATCH(22,B4:B30,0),4)</f>
        <v>-0.59999999999999964</v>
      </c>
      <c r="G25" s="75">
        <f>INDEX('4s.bezr.pow.'!B3:G29,MATCH(22,B4:B30,0),5)</f>
        <v>16.5</v>
      </c>
      <c r="H25" s="24">
        <f>INDEX('4s.bezr.pow.'!B3:G29,MATCH(22,B4:B30,0),6)</f>
        <v>-1.0999999999999996</v>
      </c>
    </row>
    <row r="26" spans="1:8" x14ac:dyDescent="0.2">
      <c r="A26" s="25">
        <v>23</v>
      </c>
      <c r="B26" s="6">
        <f>RANK('4s.bezr.pow.'!C25,'4s.bezr.pow.'!$C$3:'4s.bezr.pow.'!$C$29,1)+COUNTIF('4s.bezr.pow.'!$C$3:'4s.bezr.pow.'!C25,'4s.bezr.pow.'!C25)-1</f>
        <v>9</v>
      </c>
      <c r="C26" s="5" t="str">
        <f>INDEX('4s.bezr.pow.'!B3:G29,MATCH(23,B4:B30,0),1)</f>
        <v>Powiat przemyski</v>
      </c>
      <c r="D26" s="8">
        <f>INDEX('4s.bezr.pow.'!B3:G29,MATCH(23,B4:B30,0),2)</f>
        <v>16.100000000000001</v>
      </c>
      <c r="E26" s="75">
        <f>INDEX('4s.bezr.pow.'!B3:G29,MATCH(23,B4:B30,0),3)</f>
        <v>16.399999999999999</v>
      </c>
      <c r="F26" s="24">
        <f>INDEX('4s.bezr.pow.'!B3:G29,MATCH(23,B4:B30,0),4)</f>
        <v>-0.29999999999999716</v>
      </c>
      <c r="G26" s="75">
        <f>INDEX('4s.bezr.pow.'!B3:G29,MATCH(23,B4:B30,0),5)</f>
        <v>16.399999999999999</v>
      </c>
      <c r="H26" s="24">
        <f>INDEX('4s.bezr.pow.'!B3:G29,MATCH(23,B4:B30,0),6)</f>
        <v>-0.29999999999999716</v>
      </c>
    </row>
    <row r="27" spans="1:8" x14ac:dyDescent="0.2">
      <c r="A27" s="25">
        <v>24</v>
      </c>
      <c r="B27" s="6">
        <f>RANK('4s.bezr.pow.'!C26,'4s.bezr.pow.'!$C$3:'4s.bezr.pow.'!$C$29,1)+COUNTIF('4s.bezr.pow.'!$C$3:'4s.bezr.pow.'!C26,'4s.bezr.pow.'!C26)-1</f>
        <v>1</v>
      </c>
      <c r="C27" s="5" t="str">
        <f>INDEX('4s.bezr.pow.'!B3:G29,MATCH(24,B4:B30,0),1)</f>
        <v>Powiat niżański</v>
      </c>
      <c r="D27" s="8">
        <f>INDEX('4s.bezr.pow.'!B3:G29,MATCH(24,B4:B30,0),2)</f>
        <v>16.7</v>
      </c>
      <c r="E27" s="75">
        <f>INDEX('4s.bezr.pow.'!B3:G29,MATCH(24,B4:B30,0),3)</f>
        <v>17.2</v>
      </c>
      <c r="F27" s="24">
        <f>INDEX('4s.bezr.pow.'!B3:G29,MATCH(24,B4:B30,0),4)</f>
        <v>-0.5</v>
      </c>
      <c r="G27" s="75">
        <f>INDEX('4s.bezr.pow.'!B3:G29,MATCH(24,B4:B30,0),5)</f>
        <v>17.3</v>
      </c>
      <c r="H27" s="24">
        <f>INDEX('4s.bezr.pow.'!B3:G29,MATCH(24,B4:B30,0),6)</f>
        <v>-0.60000000000000142</v>
      </c>
    </row>
    <row r="28" spans="1:8" x14ac:dyDescent="0.2">
      <c r="A28" s="25">
        <v>25</v>
      </c>
      <c r="B28" s="6">
        <f>RANK('4s.bezr.pow.'!C27,'4s.bezr.pow.'!$C$3:'4s.bezr.pow.'!$C$29,1)+COUNTIF('4s.bezr.pow.'!$C$3:'4s.bezr.pow.'!C27,'4s.bezr.pow.'!C27)-1</f>
        <v>15</v>
      </c>
      <c r="C28" s="5" t="str">
        <f>INDEX('4s.bezr.pow.'!B3:G29,MATCH(25,B4:B30,0),1)</f>
        <v>Powiat strzyżowski</v>
      </c>
      <c r="D28" s="8">
        <f>INDEX('4s.bezr.pow.'!B3:G29,MATCH(25,B4:B30,0),2)</f>
        <v>17.600000000000001</v>
      </c>
      <c r="E28" s="75">
        <f>INDEX('4s.bezr.pow.'!B3:G29,MATCH(25,B4:B30,0),3)</f>
        <v>17.899999999999999</v>
      </c>
      <c r="F28" s="24">
        <f>INDEX('4s.bezr.pow.'!B3:G29,MATCH(25,B4:B30,0),4)</f>
        <v>-0.29999999999999716</v>
      </c>
      <c r="G28" s="75">
        <f>INDEX('4s.bezr.pow.'!B3:G29,MATCH(25,B4:B30,0),5)</f>
        <v>18.5</v>
      </c>
      <c r="H28" s="24">
        <f>INDEX('4s.bezr.pow.'!B3:G29,MATCH(25,B4:B30,0),6)</f>
        <v>-0.89999999999999858</v>
      </c>
    </row>
    <row r="29" spans="1:8" ht="15" x14ac:dyDescent="0.25">
      <c r="A29" s="25">
        <v>26</v>
      </c>
      <c r="B29" s="22">
        <f>RANK('4s.bezr.pow.'!C28,'4s.bezr.pow.'!$C$3:'4s.bezr.pow.'!$C$29,1)+COUNTIF('4s.bezr.pow.'!$C$3:'4s.bezr.pow.'!C28,'4s.bezr.pow.'!C28)-1</f>
        <v>2</v>
      </c>
      <c r="C29" s="23" t="str">
        <f>INDEX('4s.bezr.pow.'!B3:G29,MATCH(26,B4:B30,0),1)</f>
        <v>Powiat leski</v>
      </c>
      <c r="D29" s="34">
        <f>INDEX('4s.bezr.pow.'!B3:G29,MATCH(26,B4:B30,0),2)</f>
        <v>19.399999999999999</v>
      </c>
      <c r="E29" s="71">
        <f>INDEX('4s.bezr.pow.'!B3:G29,MATCH(26,B4:B30,0),3)</f>
        <v>19.399999999999999</v>
      </c>
      <c r="F29" s="38">
        <f>INDEX('4s.bezr.pow.'!B3:G29,MATCH(26,B4:B30,0),4)</f>
        <v>0</v>
      </c>
      <c r="G29" s="71">
        <f>INDEX('4s.bezr.pow.'!B3:G29,MATCH(26,B4:B30,0),5)</f>
        <v>19.7</v>
      </c>
      <c r="H29" s="38">
        <f>INDEX('4s.bezr.pow.'!B3:G29,MATCH(26,B4:B30,0),6)</f>
        <v>-0.30000000000000071</v>
      </c>
    </row>
    <row r="30" spans="1:8" x14ac:dyDescent="0.2">
      <c r="A30" s="25">
        <v>27</v>
      </c>
      <c r="B30" s="39">
        <f>RANK('4s.bezr.pow.'!C29,'4s.bezr.pow.'!$C$3:'4s.bezr.pow.'!$C$29,1)+COUNTIF('4s.bezr.pow.'!$C$3:'4s.bezr.pow.'!C29,'4s.bezr.pow.'!C29)-1</f>
        <v>7</v>
      </c>
      <c r="C30" s="40" t="str">
        <f>INDEX('4s.bezr.pow.'!B3:G29,MATCH(27,B4:B30,0),1)</f>
        <v>Powiat brzozowski</v>
      </c>
      <c r="D30" s="8">
        <f>INDEX('4s.bezr.pow.'!B3:G29,MATCH(27,B4:B30,0),2)</f>
        <v>21.2</v>
      </c>
      <c r="E30" s="75">
        <f>INDEX('4s.bezr.pow.'!B3:G29,MATCH(27,B4:B30,0),3)</f>
        <v>21.3</v>
      </c>
      <c r="F30" s="8">
        <f>INDEX('4s.bezr.pow.'!B3:G29,MATCH(27,B4:B30,0),4)</f>
        <v>-0.10000000000000142</v>
      </c>
      <c r="G30" s="75">
        <f>INDEX('4s.bezr.pow.'!B3:G29,MATCH(27,B4:B30,0),5)</f>
        <v>22</v>
      </c>
      <c r="H30" s="8">
        <f>INDEX('4s.bezr.pow.'!B3:G29,MATCH(27,B4:B30,0),6)</f>
        <v>-0.80000000000000071</v>
      </c>
    </row>
    <row r="31" spans="1:8" x14ac:dyDescent="0.2">
      <c r="C31" s="52" t="str">
        <f>T('4s.bezr.pow.'!B30)</f>
        <v xml:space="preserve">* GUS, Bank Danych Lokalnych </v>
      </c>
    </row>
    <row r="32" spans="1:8" x14ac:dyDescent="0.2">
      <c r="C32" s="151"/>
    </row>
  </sheetData>
  <pageMargins left="0" right="0" top="0.31496062992125984" bottom="0" header="0" footer="0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5.28515625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4.140625" style="3" customWidth="1"/>
    <col min="9" max="9" width="24.5703125" style="3" hidden="1" customWidth="1"/>
    <col min="10" max="10" width="16" style="3" hidden="1" customWidth="1"/>
    <col min="11" max="11" width="17.42578125" style="3" hidden="1" customWidth="1"/>
    <col min="12" max="12" width="14.42578125" style="3" hidden="1" customWidth="1"/>
    <col min="13" max="13" width="3" style="3" hidden="1" customWidth="1"/>
    <col min="14" max="14" width="3" style="3" customWidth="1"/>
    <col min="15" max="16384" width="9.140625" style="3"/>
  </cols>
  <sheetData>
    <row r="1" spans="1:12" ht="23.25" customHeight="1" x14ac:dyDescent="0.2">
      <c r="B1" s="2" t="s">
        <v>31</v>
      </c>
      <c r="I1" s="2" t="s">
        <v>84</v>
      </c>
    </row>
    <row r="2" spans="1:12" ht="86.25" customHeight="1" x14ac:dyDescent="0.2">
      <c r="B2" s="55" t="s">
        <v>27</v>
      </c>
      <c r="C2" s="56" t="s">
        <v>150</v>
      </c>
      <c r="D2" s="57" t="s">
        <v>149</v>
      </c>
      <c r="E2" s="56" t="s">
        <v>28</v>
      </c>
      <c r="F2" s="57" t="s">
        <v>148</v>
      </c>
      <c r="G2" s="56" t="s">
        <v>26</v>
      </c>
      <c r="I2" s="55" t="s">
        <v>27</v>
      </c>
      <c r="J2" s="56" t="str">
        <f>T('1bezr.'!C2)</f>
        <v>liczba bezrobotnych ogółem stan na 29-02-'24 r.</v>
      </c>
      <c r="K2" s="56" t="str">
        <f>T(C2)</f>
        <v>liczba bezrobotnych zam. na wsi stan na 29-02-'24 r.</v>
      </c>
      <c r="L2" s="56" t="s">
        <v>93</v>
      </c>
    </row>
    <row r="3" spans="1:12" x14ac:dyDescent="0.2">
      <c r="A3" s="3">
        <v>1</v>
      </c>
      <c r="B3" s="5" t="s">
        <v>0</v>
      </c>
      <c r="C3" s="13">
        <v>699</v>
      </c>
      <c r="D3" s="61">
        <v>723</v>
      </c>
      <c r="E3" s="6">
        <f t="shared" ref="E3:E23" si="0">SUM(C3)-D3</f>
        <v>-24</v>
      </c>
      <c r="F3" s="61">
        <v>751</v>
      </c>
      <c r="G3" s="6">
        <f t="shared" ref="G3:G23" si="1">SUM(C3)-F3</f>
        <v>-52</v>
      </c>
      <c r="H3" s="7"/>
      <c r="I3" s="5" t="s">
        <v>0</v>
      </c>
      <c r="J3" s="6">
        <f>SUM('1bezr.'!C3)</f>
        <v>1085</v>
      </c>
      <c r="K3" s="6">
        <f>SUM(C3)</f>
        <v>699</v>
      </c>
      <c r="L3" s="8">
        <f t="shared" ref="L3:L23" si="2">SUM(K3)/J3*100</f>
        <v>64.423963133640555</v>
      </c>
    </row>
    <row r="4" spans="1:12" x14ac:dyDescent="0.2">
      <c r="A4" s="3">
        <v>2</v>
      </c>
      <c r="B4" s="5" t="s">
        <v>1</v>
      </c>
      <c r="C4" s="14">
        <v>3637</v>
      </c>
      <c r="D4" s="61">
        <v>3657</v>
      </c>
      <c r="E4" s="6">
        <f t="shared" si="0"/>
        <v>-20</v>
      </c>
      <c r="F4" s="61">
        <v>3792</v>
      </c>
      <c r="G4" s="6">
        <f t="shared" si="1"/>
        <v>-155</v>
      </c>
      <c r="H4" s="7"/>
      <c r="I4" s="5" t="s">
        <v>1</v>
      </c>
      <c r="J4" s="6">
        <f>SUM('1bezr.'!C4)</f>
        <v>3957</v>
      </c>
      <c r="K4" s="6">
        <f t="shared" ref="K4:K22" si="3">SUM(C4)</f>
        <v>3637</v>
      </c>
      <c r="L4" s="8">
        <f t="shared" si="2"/>
        <v>91.913065453626487</v>
      </c>
    </row>
    <row r="5" spans="1:12" x14ac:dyDescent="0.2">
      <c r="A5" s="3">
        <v>3</v>
      </c>
      <c r="B5" s="5" t="s">
        <v>2</v>
      </c>
      <c r="C5" s="15">
        <v>1558</v>
      </c>
      <c r="D5" s="61">
        <v>1558</v>
      </c>
      <c r="E5" s="6">
        <f t="shared" si="0"/>
        <v>0</v>
      </c>
      <c r="F5" s="61">
        <v>1599</v>
      </c>
      <c r="G5" s="6">
        <f t="shared" si="1"/>
        <v>-41</v>
      </c>
      <c r="H5" s="7"/>
      <c r="I5" s="5" t="s">
        <v>2</v>
      </c>
      <c r="J5" s="6">
        <f>SUM('1bezr.'!C5)</f>
        <v>2617</v>
      </c>
      <c r="K5" s="6">
        <f t="shared" si="3"/>
        <v>1558</v>
      </c>
      <c r="L5" s="8">
        <f t="shared" si="2"/>
        <v>59.533817348108521</v>
      </c>
    </row>
    <row r="6" spans="1:12" x14ac:dyDescent="0.2">
      <c r="A6" s="3">
        <v>4</v>
      </c>
      <c r="B6" s="5" t="s">
        <v>3</v>
      </c>
      <c r="C6" s="15">
        <v>2838</v>
      </c>
      <c r="D6" s="61">
        <v>2877</v>
      </c>
      <c r="E6" s="6">
        <f t="shared" si="0"/>
        <v>-39</v>
      </c>
      <c r="F6" s="61">
        <v>3038</v>
      </c>
      <c r="G6" s="6">
        <f t="shared" si="1"/>
        <v>-200</v>
      </c>
      <c r="H6" s="7"/>
      <c r="I6" s="5" t="s">
        <v>3</v>
      </c>
      <c r="J6" s="6">
        <f>SUM('1bezr.'!C6)</f>
        <v>4569</v>
      </c>
      <c r="K6" s="6">
        <f t="shared" si="3"/>
        <v>2838</v>
      </c>
      <c r="L6" s="8">
        <f t="shared" si="2"/>
        <v>62.114248194353252</v>
      </c>
    </row>
    <row r="7" spans="1:12" x14ac:dyDescent="0.2">
      <c r="A7" s="3">
        <v>5</v>
      </c>
      <c r="B7" s="5" t="s">
        <v>4</v>
      </c>
      <c r="C7" s="15">
        <v>3745</v>
      </c>
      <c r="D7" s="61">
        <v>3845</v>
      </c>
      <c r="E7" s="6">
        <f t="shared" si="0"/>
        <v>-100</v>
      </c>
      <c r="F7" s="61">
        <v>3664</v>
      </c>
      <c r="G7" s="6">
        <f t="shared" si="1"/>
        <v>81</v>
      </c>
      <c r="H7" s="7"/>
      <c r="I7" s="5" t="s">
        <v>4</v>
      </c>
      <c r="J7" s="6">
        <f>SUM('1bezr.'!C7)</f>
        <v>5253</v>
      </c>
      <c r="K7" s="6">
        <f t="shared" si="3"/>
        <v>3745</v>
      </c>
      <c r="L7" s="8">
        <f t="shared" si="2"/>
        <v>71.292594707786023</v>
      </c>
    </row>
    <row r="8" spans="1:12" x14ac:dyDescent="0.2">
      <c r="A8" s="3">
        <v>6</v>
      </c>
      <c r="B8" s="5" t="s">
        <v>5</v>
      </c>
      <c r="C8" s="15">
        <v>1410</v>
      </c>
      <c r="D8" s="61">
        <v>1369</v>
      </c>
      <c r="E8" s="6">
        <f t="shared" si="0"/>
        <v>41</v>
      </c>
      <c r="F8" s="61">
        <v>1504</v>
      </c>
      <c r="G8" s="6">
        <f t="shared" si="1"/>
        <v>-94</v>
      </c>
      <c r="H8" s="7"/>
      <c r="I8" s="5" t="s">
        <v>5</v>
      </c>
      <c r="J8" s="6">
        <f>SUM('1bezr.'!C8)</f>
        <v>1620</v>
      </c>
      <c r="K8" s="6">
        <f t="shared" si="3"/>
        <v>1410</v>
      </c>
      <c r="L8" s="8">
        <f t="shared" si="2"/>
        <v>87.037037037037038</v>
      </c>
    </row>
    <row r="9" spans="1:12" x14ac:dyDescent="0.2">
      <c r="A9" s="3">
        <v>7</v>
      </c>
      <c r="B9" s="9" t="s">
        <v>6</v>
      </c>
      <c r="C9" s="16">
        <v>2257</v>
      </c>
      <c r="D9" s="61">
        <v>2200</v>
      </c>
      <c r="E9" s="6">
        <f t="shared" si="0"/>
        <v>57</v>
      </c>
      <c r="F9" s="61">
        <v>2017</v>
      </c>
      <c r="G9" s="6">
        <f t="shared" si="1"/>
        <v>240</v>
      </c>
      <c r="H9" s="7"/>
      <c r="I9" s="9" t="s">
        <v>6</v>
      </c>
      <c r="J9" s="6">
        <f>SUM('1bezr.'!C9)</f>
        <v>2504</v>
      </c>
      <c r="K9" s="6">
        <f t="shared" si="3"/>
        <v>2257</v>
      </c>
      <c r="L9" s="8">
        <f t="shared" si="2"/>
        <v>90.135782747603827</v>
      </c>
    </row>
    <row r="10" spans="1:12" x14ac:dyDescent="0.2">
      <c r="A10" s="3">
        <v>8</v>
      </c>
      <c r="B10" s="5" t="s">
        <v>7</v>
      </c>
      <c r="C10" s="17">
        <v>1505</v>
      </c>
      <c r="D10" s="61">
        <v>1500</v>
      </c>
      <c r="E10" s="6">
        <f t="shared" si="0"/>
        <v>5</v>
      </c>
      <c r="F10" s="61">
        <v>1493</v>
      </c>
      <c r="G10" s="6">
        <f>SUM(C10)-F10</f>
        <v>12</v>
      </c>
      <c r="H10" s="7"/>
      <c r="I10" s="5" t="s">
        <v>7</v>
      </c>
      <c r="J10" s="6">
        <f>SUM('1bezr.'!C10)</f>
        <v>1788</v>
      </c>
      <c r="K10" s="6">
        <f>SUM(C10)</f>
        <v>1505</v>
      </c>
      <c r="L10" s="8">
        <f t="shared" si="2"/>
        <v>84.172259507829978</v>
      </c>
    </row>
    <row r="11" spans="1:12" x14ac:dyDescent="0.2">
      <c r="A11" s="3">
        <v>9</v>
      </c>
      <c r="B11" s="5" t="s">
        <v>8</v>
      </c>
      <c r="C11" s="17">
        <v>2509</v>
      </c>
      <c r="D11" s="61">
        <v>2497</v>
      </c>
      <c r="E11" s="6">
        <f t="shared" si="0"/>
        <v>12</v>
      </c>
      <c r="F11" s="61">
        <v>2524</v>
      </c>
      <c r="G11" s="6">
        <f t="shared" si="1"/>
        <v>-15</v>
      </c>
      <c r="H11" s="7"/>
      <c r="I11" s="5" t="s">
        <v>8</v>
      </c>
      <c r="J11" s="6">
        <f>SUM('1bezr.'!C11)</f>
        <v>3279</v>
      </c>
      <c r="K11" s="6">
        <f t="shared" si="3"/>
        <v>2509</v>
      </c>
      <c r="L11" s="8">
        <f t="shared" si="2"/>
        <v>76.517230863068008</v>
      </c>
    </row>
    <row r="12" spans="1:12" x14ac:dyDescent="0.2">
      <c r="A12" s="3">
        <v>10</v>
      </c>
      <c r="B12" s="5" t="s">
        <v>9</v>
      </c>
      <c r="C12" s="17">
        <v>1258</v>
      </c>
      <c r="D12" s="61">
        <v>1285</v>
      </c>
      <c r="E12" s="6">
        <f t="shared" si="0"/>
        <v>-27</v>
      </c>
      <c r="F12" s="61">
        <v>1308</v>
      </c>
      <c r="G12" s="6">
        <f t="shared" si="1"/>
        <v>-50</v>
      </c>
      <c r="H12" s="7"/>
      <c r="I12" s="5" t="s">
        <v>9</v>
      </c>
      <c r="J12" s="6">
        <f>SUM('1bezr.'!C12)</f>
        <v>1903</v>
      </c>
      <c r="K12" s="6">
        <f t="shared" si="3"/>
        <v>1258</v>
      </c>
      <c r="L12" s="8">
        <f t="shared" si="2"/>
        <v>66.106148187073046</v>
      </c>
    </row>
    <row r="13" spans="1:12" x14ac:dyDescent="0.2">
      <c r="A13" s="3">
        <v>11</v>
      </c>
      <c r="B13" s="5" t="s">
        <v>10</v>
      </c>
      <c r="C13" s="17">
        <v>2126</v>
      </c>
      <c r="D13" s="61">
        <v>2167</v>
      </c>
      <c r="E13" s="6">
        <f t="shared" si="0"/>
        <v>-41</v>
      </c>
      <c r="F13" s="61">
        <v>2199</v>
      </c>
      <c r="G13" s="6">
        <f t="shared" si="1"/>
        <v>-73</v>
      </c>
      <c r="H13" s="7"/>
      <c r="I13" s="5" t="s">
        <v>10</v>
      </c>
      <c r="J13" s="6">
        <f>SUM('1bezr.'!C13)</f>
        <v>2679</v>
      </c>
      <c r="K13" s="6">
        <f t="shared" si="3"/>
        <v>2126</v>
      </c>
      <c r="L13" s="8">
        <f t="shared" si="2"/>
        <v>79.357969391564026</v>
      </c>
    </row>
    <row r="14" spans="1:12" x14ac:dyDescent="0.2">
      <c r="A14" s="3">
        <v>12</v>
      </c>
      <c r="B14" s="5" t="s">
        <v>11</v>
      </c>
      <c r="C14" s="17">
        <v>1551</v>
      </c>
      <c r="D14" s="61">
        <v>1542</v>
      </c>
      <c r="E14" s="6">
        <f t="shared" si="0"/>
        <v>9</v>
      </c>
      <c r="F14" s="61">
        <v>1403</v>
      </c>
      <c r="G14" s="6">
        <f t="shared" si="1"/>
        <v>148</v>
      </c>
      <c r="H14" s="7"/>
      <c r="I14" s="5" t="s">
        <v>11</v>
      </c>
      <c r="J14" s="6">
        <f>SUM('1bezr.'!C14)</f>
        <v>3037</v>
      </c>
      <c r="K14" s="6">
        <f t="shared" si="3"/>
        <v>1551</v>
      </c>
      <c r="L14" s="8">
        <f t="shared" si="2"/>
        <v>51.070135001646364</v>
      </c>
    </row>
    <row r="15" spans="1:12" x14ac:dyDescent="0.2">
      <c r="A15" s="3">
        <v>13</v>
      </c>
      <c r="B15" s="5" t="s">
        <v>12</v>
      </c>
      <c r="C15" s="17">
        <v>2058</v>
      </c>
      <c r="D15" s="61">
        <v>2142</v>
      </c>
      <c r="E15" s="6">
        <f t="shared" si="0"/>
        <v>-84</v>
      </c>
      <c r="F15" s="61">
        <v>2120</v>
      </c>
      <c r="G15" s="6">
        <f t="shared" si="1"/>
        <v>-62</v>
      </c>
      <c r="H15" s="7"/>
      <c r="I15" s="5" t="s">
        <v>12</v>
      </c>
      <c r="J15" s="6">
        <f>SUM('1bezr.'!C15)</f>
        <v>3129</v>
      </c>
      <c r="K15" s="6">
        <f t="shared" si="3"/>
        <v>2058</v>
      </c>
      <c r="L15" s="8">
        <f t="shared" si="2"/>
        <v>65.771812080536918</v>
      </c>
    </row>
    <row r="16" spans="1:12" x14ac:dyDescent="0.2">
      <c r="A16" s="3">
        <v>14</v>
      </c>
      <c r="B16" s="5" t="s">
        <v>13</v>
      </c>
      <c r="C16" s="17">
        <v>3026</v>
      </c>
      <c r="D16" s="61">
        <v>3062</v>
      </c>
      <c r="E16" s="6">
        <f t="shared" si="0"/>
        <v>-36</v>
      </c>
      <c r="F16" s="61">
        <v>3126</v>
      </c>
      <c r="G16" s="6">
        <f t="shared" si="1"/>
        <v>-100</v>
      </c>
      <c r="H16" s="7"/>
      <c r="I16" s="5" t="s">
        <v>13</v>
      </c>
      <c r="J16" s="6">
        <f>SUM('1bezr.'!C16)</f>
        <v>3107</v>
      </c>
      <c r="K16" s="6">
        <f t="shared" si="3"/>
        <v>3026</v>
      </c>
      <c r="L16" s="8">
        <f t="shared" si="2"/>
        <v>97.392983585452214</v>
      </c>
    </row>
    <row r="17" spans="1:13" x14ac:dyDescent="0.2">
      <c r="A17" s="3">
        <v>15</v>
      </c>
      <c r="B17" s="5" t="s">
        <v>14</v>
      </c>
      <c r="C17" s="17">
        <v>2548</v>
      </c>
      <c r="D17" s="61">
        <v>2591</v>
      </c>
      <c r="E17" s="6">
        <f t="shared" si="0"/>
        <v>-43</v>
      </c>
      <c r="F17" s="61">
        <v>2746</v>
      </c>
      <c r="G17" s="6">
        <f t="shared" si="1"/>
        <v>-198</v>
      </c>
      <c r="H17" s="7"/>
      <c r="I17" s="5" t="s">
        <v>14</v>
      </c>
      <c r="J17" s="6">
        <f>SUM('1bezr.'!C17)</f>
        <v>3401</v>
      </c>
      <c r="K17" s="6">
        <f t="shared" si="3"/>
        <v>2548</v>
      </c>
      <c r="L17" s="8">
        <f t="shared" si="2"/>
        <v>74.91914142899148</v>
      </c>
      <c r="M17" s="10"/>
    </row>
    <row r="18" spans="1:13" x14ac:dyDescent="0.2">
      <c r="A18" s="3">
        <v>16</v>
      </c>
      <c r="B18" s="5" t="s">
        <v>15</v>
      </c>
      <c r="C18" s="17">
        <v>1738</v>
      </c>
      <c r="D18" s="61">
        <v>1756</v>
      </c>
      <c r="E18" s="6">
        <f t="shared" si="0"/>
        <v>-18</v>
      </c>
      <c r="F18" s="61">
        <v>1849</v>
      </c>
      <c r="G18" s="6">
        <f t="shared" si="1"/>
        <v>-111</v>
      </c>
      <c r="H18" s="7"/>
      <c r="I18" s="5" t="s">
        <v>15</v>
      </c>
      <c r="J18" s="6">
        <f>SUM('1bezr.'!C18)</f>
        <v>2677</v>
      </c>
      <c r="K18" s="6">
        <f t="shared" si="3"/>
        <v>1738</v>
      </c>
      <c r="L18" s="8">
        <f t="shared" si="2"/>
        <v>64.923421740754577</v>
      </c>
    </row>
    <row r="19" spans="1:13" x14ac:dyDescent="0.2">
      <c r="A19" s="3">
        <v>17</v>
      </c>
      <c r="B19" s="5" t="s">
        <v>16</v>
      </c>
      <c r="C19" s="17">
        <v>3785</v>
      </c>
      <c r="D19" s="61">
        <v>3765</v>
      </c>
      <c r="E19" s="6">
        <f t="shared" si="0"/>
        <v>20</v>
      </c>
      <c r="F19" s="61">
        <v>4049</v>
      </c>
      <c r="G19" s="6">
        <f t="shared" si="1"/>
        <v>-264</v>
      </c>
      <c r="H19" s="7"/>
      <c r="I19" s="5" t="s">
        <v>16</v>
      </c>
      <c r="J19" s="6">
        <f>SUM('1bezr.'!C19)</f>
        <v>4809</v>
      </c>
      <c r="K19" s="6">
        <f t="shared" si="3"/>
        <v>3785</v>
      </c>
      <c r="L19" s="8">
        <f t="shared" si="2"/>
        <v>78.706591807028488</v>
      </c>
    </row>
    <row r="20" spans="1:13" x14ac:dyDescent="0.2">
      <c r="A20" s="3">
        <v>18</v>
      </c>
      <c r="B20" s="5" t="s">
        <v>17</v>
      </c>
      <c r="C20" s="17">
        <v>1723</v>
      </c>
      <c r="D20" s="61">
        <v>1692</v>
      </c>
      <c r="E20" s="6">
        <f t="shared" si="0"/>
        <v>31</v>
      </c>
      <c r="F20" s="61">
        <v>1635</v>
      </c>
      <c r="G20" s="6">
        <f t="shared" si="1"/>
        <v>88</v>
      </c>
      <c r="H20" s="7"/>
      <c r="I20" s="5" t="s">
        <v>17</v>
      </c>
      <c r="J20" s="6">
        <f>SUM('1bezr.'!C20)</f>
        <v>2908</v>
      </c>
      <c r="K20" s="6">
        <f t="shared" si="3"/>
        <v>1723</v>
      </c>
      <c r="L20" s="8">
        <f t="shared" si="2"/>
        <v>59.250343878954602</v>
      </c>
    </row>
    <row r="21" spans="1:13" x14ac:dyDescent="0.2">
      <c r="A21" s="3">
        <v>19</v>
      </c>
      <c r="B21" s="5" t="s">
        <v>18</v>
      </c>
      <c r="C21" s="17">
        <v>823</v>
      </c>
      <c r="D21" s="61">
        <v>812</v>
      </c>
      <c r="E21" s="6">
        <f t="shared" si="0"/>
        <v>11</v>
      </c>
      <c r="F21" s="61">
        <v>840</v>
      </c>
      <c r="G21" s="6">
        <f t="shared" si="1"/>
        <v>-17</v>
      </c>
      <c r="H21" s="7"/>
      <c r="I21" s="5" t="s">
        <v>18</v>
      </c>
      <c r="J21" s="6">
        <f>SUM('1bezr.'!C21)</f>
        <v>2079</v>
      </c>
      <c r="K21" s="6">
        <f t="shared" si="3"/>
        <v>823</v>
      </c>
      <c r="L21" s="8">
        <f t="shared" si="2"/>
        <v>39.586339586339584</v>
      </c>
    </row>
    <row r="22" spans="1:13" x14ac:dyDescent="0.2">
      <c r="A22" s="3">
        <v>20</v>
      </c>
      <c r="B22" s="5" t="s">
        <v>19</v>
      </c>
      <c r="C22" s="17">
        <v>2901</v>
      </c>
      <c r="D22" s="61">
        <v>2961</v>
      </c>
      <c r="E22" s="6">
        <f t="shared" si="0"/>
        <v>-60</v>
      </c>
      <c r="F22" s="61">
        <v>3050</v>
      </c>
      <c r="G22" s="6">
        <f t="shared" si="1"/>
        <v>-149</v>
      </c>
      <c r="H22" s="7"/>
      <c r="I22" s="5" t="s">
        <v>19</v>
      </c>
      <c r="J22" s="6">
        <f>SUM('1bezr.'!C22)</f>
        <v>3236</v>
      </c>
      <c r="K22" s="6">
        <f t="shared" si="3"/>
        <v>2901</v>
      </c>
      <c r="L22" s="8">
        <f t="shared" si="2"/>
        <v>89.647713226205198</v>
      </c>
    </row>
    <row r="23" spans="1:13" x14ac:dyDescent="0.2">
      <c r="A23" s="3">
        <v>21</v>
      </c>
      <c r="B23" s="5" t="s">
        <v>20</v>
      </c>
      <c r="C23" s="17">
        <v>1110</v>
      </c>
      <c r="D23" s="61">
        <v>1103</v>
      </c>
      <c r="E23" s="6">
        <f t="shared" si="0"/>
        <v>7</v>
      </c>
      <c r="F23" s="61">
        <v>1119</v>
      </c>
      <c r="G23" s="6">
        <f t="shared" si="1"/>
        <v>-9</v>
      </c>
      <c r="H23" s="7"/>
      <c r="I23" s="5" t="s">
        <v>20</v>
      </c>
      <c r="J23" s="6">
        <f>SUM('1bezr.'!C23)</f>
        <v>1359</v>
      </c>
      <c r="K23" s="6">
        <f>SUM(C23)</f>
        <v>1110</v>
      </c>
      <c r="L23" s="8">
        <f t="shared" si="2"/>
        <v>81.677704194260485</v>
      </c>
    </row>
    <row r="24" spans="1:13" ht="15" x14ac:dyDescent="0.25">
      <c r="A24" s="3">
        <v>22</v>
      </c>
      <c r="B24" s="58" t="s">
        <v>25</v>
      </c>
      <c r="C24" s="59">
        <f>SUM(C3:C23)</f>
        <v>44805</v>
      </c>
      <c r="D24" s="63">
        <f>SUM(D3:D23)</f>
        <v>45104</v>
      </c>
      <c r="E24" s="59">
        <f>SUM(E3:E23)</f>
        <v>-299</v>
      </c>
      <c r="F24" s="63">
        <f>SUM(F3:F23)</f>
        <v>45826</v>
      </c>
      <c r="G24" s="59">
        <f>SUM(G3:G23)</f>
        <v>-1021</v>
      </c>
      <c r="H24" s="7"/>
      <c r="I24" s="5" t="s">
        <v>21</v>
      </c>
      <c r="J24" s="6">
        <f>SUM('1bezr.'!C24)</f>
        <v>906</v>
      </c>
      <c r="K24" s="11" t="s">
        <v>29</v>
      </c>
      <c r="L24" s="12" t="s">
        <v>29</v>
      </c>
    </row>
    <row r="25" spans="1:13" x14ac:dyDescent="0.2">
      <c r="C25" s="54"/>
      <c r="I25" s="5" t="s">
        <v>22</v>
      </c>
      <c r="J25" s="6">
        <f>SUM('1bezr.'!C25)</f>
        <v>2506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5182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1161</v>
      </c>
      <c r="K27" s="11" t="s">
        <v>29</v>
      </c>
      <c r="L27" s="12" t="s">
        <v>29</v>
      </c>
    </row>
    <row r="28" spans="1:13" ht="15" x14ac:dyDescent="0.25">
      <c r="H28" s="7"/>
      <c r="I28" s="58" t="s">
        <v>25</v>
      </c>
      <c r="J28" s="59">
        <f>SUM(J3:J27)</f>
        <v>70751</v>
      </c>
      <c r="K28" s="59">
        <f>SUM(K3:K23)</f>
        <v>44805</v>
      </c>
      <c r="L28" s="74">
        <f>SUM(K28)/J28*100</f>
        <v>63.3277268165821</v>
      </c>
    </row>
    <row r="30" spans="1:13" x14ac:dyDescent="0.2">
      <c r="K30" s="19">
        <f>SUM(K28-J28)</f>
        <v>-25946</v>
      </c>
    </row>
  </sheetData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1bezr.</vt:lpstr>
      <vt:lpstr>1sort</vt:lpstr>
      <vt:lpstr>2kob.</vt:lpstr>
      <vt:lpstr>2sort</vt:lpstr>
      <vt:lpstr>3s.bezr.Pol</vt:lpstr>
      <vt:lpstr>3sort</vt:lpstr>
      <vt:lpstr>4s.bezr.pow.</vt:lpstr>
      <vt:lpstr>4sort</vt:lpstr>
      <vt:lpstr>5bezr. na wsi</vt:lpstr>
      <vt:lpstr>5sort</vt:lpstr>
      <vt:lpstr>6długot.</vt:lpstr>
      <vt:lpstr>6sort</vt:lpstr>
      <vt:lpstr>7do 30 r.ż.</vt:lpstr>
      <vt:lpstr>7sort</vt:lpstr>
      <vt:lpstr>8pow. 50 r.ż.</vt:lpstr>
      <vt:lpstr>8sort</vt:lpstr>
      <vt:lpstr>9oferty p.</vt:lpstr>
      <vt:lpstr>9sort</vt:lpstr>
      <vt:lpstr>10oferty s.</vt:lpstr>
      <vt:lpstr>10sort</vt:lpstr>
      <vt:lpstr>11of st. k.</vt:lpstr>
      <vt:lpstr>11sort</vt:lpstr>
      <vt:lpstr>K1</vt:lpstr>
      <vt:lpstr>XXXIII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2024-03-28T12:12:10Z</cp:lastPrinted>
  <dcterms:created xsi:type="dcterms:W3CDTF">2016-08-02T05:46:03Z</dcterms:created>
  <dcterms:modified xsi:type="dcterms:W3CDTF">2024-03-28T12:12:15Z</dcterms:modified>
</cp:coreProperties>
</file>