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otr.kocaj\AppData\Local\Temp\ezdpuw\20240528105137577\"/>
    </mc:Choice>
  </mc:AlternateContent>
  <xr:revisionPtr revIDLastSave="0" documentId="13_ncr:1_{8D62C406-EAF1-4099-867E-3B6AD8AC3C11}" xr6:coauthVersionLast="47" xr6:coauthVersionMax="47" xr10:uidLastSave="{00000000-0000-0000-0000-000000000000}"/>
  <bookViews>
    <workbookView xWindow="1125" yWindow="0" windowWidth="27675" windowHeight="15480" tabRatio="949" xr2:uid="{00000000-000D-0000-FFFF-FFFF00000000}"/>
  </bookViews>
  <sheets>
    <sheet name="1bezr." sheetId="1" r:id="rId1"/>
    <sheet name="1sort" sheetId="14" r:id="rId2"/>
    <sheet name="2kob." sheetId="10" r:id="rId3"/>
    <sheet name="2sort" sheetId="15" r:id="rId4"/>
    <sheet name="3bezr. na wsi" sheetId="2" r:id="rId5"/>
    <sheet name="3sort" sheetId="18" r:id="rId6"/>
    <sheet name="4długot." sheetId="3" r:id="rId7"/>
    <sheet name="4sort" sheetId="19" r:id="rId8"/>
    <sheet name="5do 30 r.ż." sheetId="4" r:id="rId9"/>
    <sheet name="5sort" sheetId="20" r:id="rId10"/>
    <sheet name="6pow. 50 r.ż." sheetId="5" r:id="rId11"/>
    <sheet name="6sort" sheetId="21" r:id="rId12"/>
    <sheet name="7oferty p." sheetId="6" r:id="rId13"/>
    <sheet name="7sort" sheetId="22" r:id="rId14"/>
    <sheet name="8oferty s." sheetId="11" r:id="rId15"/>
    <sheet name="8sort" sheetId="23" r:id="rId16"/>
    <sheet name="9of st. k." sheetId="26" r:id="rId17"/>
    <sheet name="9sort" sheetId="27" r:id="rId18"/>
    <sheet name="K1" sheetId="28" r:id="rId1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5" l="1"/>
  <c r="C28" i="5"/>
  <c r="AF3" i="14"/>
  <c r="AB3" i="14"/>
  <c r="AC3" i="14"/>
  <c r="AG3" i="14"/>
  <c r="E29" i="28"/>
  <c r="D28" i="10"/>
  <c r="F28" i="1" l="1"/>
  <c r="E27" i="3"/>
  <c r="D24" i="2"/>
  <c r="W29" i="28"/>
  <c r="X28" i="28" l="1"/>
  <c r="X27" i="28"/>
  <c r="X26" i="28"/>
  <c r="X25" i="28"/>
  <c r="X24" i="28"/>
  <c r="X23" i="28"/>
  <c r="X22" i="28"/>
  <c r="X21" i="28"/>
  <c r="X20" i="28"/>
  <c r="X19" i="28"/>
  <c r="X18" i="28"/>
  <c r="X17" i="28"/>
  <c r="X16" i="28"/>
  <c r="X15" i="28"/>
  <c r="X14" i="28"/>
  <c r="X13" i="28"/>
  <c r="X12" i="28"/>
  <c r="X11" i="28"/>
  <c r="X10" i="28"/>
  <c r="X9" i="28"/>
  <c r="X8" i="28"/>
  <c r="X7" i="28"/>
  <c r="X6" i="28"/>
  <c r="X5" i="28"/>
  <c r="X4" i="28"/>
  <c r="T4" i="28"/>
  <c r="E27" i="4" l="1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T10" i="28"/>
  <c r="E28" i="4" l="1"/>
  <c r="S29" i="28" l="1"/>
  <c r="R29" i="28"/>
  <c r="M29" i="28"/>
  <c r="L29" i="28"/>
  <c r="I29" i="28"/>
  <c r="H29" i="28"/>
  <c r="D29" i="28"/>
  <c r="V29" i="28" l="1"/>
  <c r="X29" i="28" s="1"/>
  <c r="D28" i="3"/>
  <c r="T28" i="28"/>
  <c r="N28" i="28"/>
  <c r="J28" i="28"/>
  <c r="F28" i="28"/>
  <c r="T27" i="28"/>
  <c r="N27" i="28"/>
  <c r="J27" i="28"/>
  <c r="F27" i="28"/>
  <c r="T26" i="28"/>
  <c r="N26" i="28"/>
  <c r="J26" i="28"/>
  <c r="F26" i="28"/>
  <c r="T25" i="28"/>
  <c r="N25" i="28"/>
  <c r="J25" i="28"/>
  <c r="F25" i="28"/>
  <c r="T24" i="28"/>
  <c r="N24" i="28"/>
  <c r="J24" i="28"/>
  <c r="F24" i="28"/>
  <c r="T23" i="28"/>
  <c r="N23" i="28"/>
  <c r="J23" i="28"/>
  <c r="F23" i="28"/>
  <c r="T22" i="28"/>
  <c r="N22" i="28"/>
  <c r="J22" i="28"/>
  <c r="F22" i="28"/>
  <c r="T21" i="28"/>
  <c r="N21" i="28"/>
  <c r="J21" i="28"/>
  <c r="F21" i="28"/>
  <c r="T20" i="28"/>
  <c r="N20" i="28"/>
  <c r="J20" i="28"/>
  <c r="F20" i="28"/>
  <c r="T19" i="28"/>
  <c r="N19" i="28"/>
  <c r="J19" i="28"/>
  <c r="F19" i="28"/>
  <c r="T18" i="28"/>
  <c r="N18" i="28"/>
  <c r="J18" i="28"/>
  <c r="F18" i="28"/>
  <c r="T17" i="28"/>
  <c r="N17" i="28"/>
  <c r="J17" i="28"/>
  <c r="F17" i="28"/>
  <c r="T16" i="28"/>
  <c r="N16" i="28"/>
  <c r="J16" i="28"/>
  <c r="F16" i="28"/>
  <c r="T15" i="28"/>
  <c r="N15" i="28"/>
  <c r="J15" i="28"/>
  <c r="F15" i="28"/>
  <c r="T14" i="28"/>
  <c r="N14" i="28"/>
  <c r="J14" i="28"/>
  <c r="F14" i="28"/>
  <c r="T13" i="28"/>
  <c r="N13" i="28"/>
  <c r="J13" i="28"/>
  <c r="F13" i="28"/>
  <c r="T12" i="28"/>
  <c r="N12" i="28"/>
  <c r="J12" i="28"/>
  <c r="F12" i="28"/>
  <c r="T11" i="28"/>
  <c r="N11" i="28"/>
  <c r="J11" i="28"/>
  <c r="F11" i="28"/>
  <c r="N10" i="28"/>
  <c r="J10" i="28"/>
  <c r="F10" i="28"/>
  <c r="T9" i="28"/>
  <c r="N9" i="28"/>
  <c r="J9" i="28"/>
  <c r="F9" i="28"/>
  <c r="T8" i="28"/>
  <c r="N8" i="28"/>
  <c r="J8" i="28"/>
  <c r="F8" i="28"/>
  <c r="T7" i="28"/>
  <c r="N7" i="28"/>
  <c r="J7" i="28"/>
  <c r="F7" i="28"/>
  <c r="T6" i="28"/>
  <c r="N6" i="28"/>
  <c r="J6" i="28"/>
  <c r="F6" i="28"/>
  <c r="T5" i="28"/>
  <c r="N5" i="28"/>
  <c r="J5" i="28"/>
  <c r="F5" i="28"/>
  <c r="N4" i="28"/>
  <c r="J4" i="28"/>
  <c r="F4" i="28"/>
  <c r="X3" i="14"/>
  <c r="W3" i="14"/>
  <c r="D28" i="6"/>
  <c r="C24" i="2"/>
  <c r="H3" i="27"/>
  <c r="G3" i="27"/>
  <c r="F3" i="27"/>
  <c r="E3" i="27"/>
  <c r="D3" i="27"/>
  <c r="C3" i="27"/>
  <c r="F29" i="26"/>
  <c r="D29" i="26"/>
  <c r="C29" i="26"/>
  <c r="B27" i="27" s="1"/>
  <c r="G28" i="26"/>
  <c r="E28" i="26"/>
  <c r="G27" i="26"/>
  <c r="E27" i="26"/>
  <c r="G26" i="26"/>
  <c r="E26" i="26"/>
  <c r="G25" i="26"/>
  <c r="E25" i="26"/>
  <c r="G24" i="26"/>
  <c r="E24" i="26"/>
  <c r="G23" i="26"/>
  <c r="E23" i="26"/>
  <c r="G22" i="26"/>
  <c r="E22" i="26"/>
  <c r="G21" i="26"/>
  <c r="E21" i="26"/>
  <c r="G20" i="26"/>
  <c r="E20" i="26"/>
  <c r="G19" i="26"/>
  <c r="E19" i="26"/>
  <c r="G18" i="26"/>
  <c r="E18" i="26"/>
  <c r="G17" i="26"/>
  <c r="E17" i="26"/>
  <c r="G16" i="26"/>
  <c r="E16" i="26"/>
  <c r="G15" i="26"/>
  <c r="E15" i="26"/>
  <c r="G14" i="26"/>
  <c r="E14" i="26"/>
  <c r="G13" i="26"/>
  <c r="E13" i="26"/>
  <c r="G12" i="26"/>
  <c r="E12" i="26"/>
  <c r="G11" i="26"/>
  <c r="E11" i="26"/>
  <c r="G10" i="26"/>
  <c r="E10" i="26"/>
  <c r="G9" i="26"/>
  <c r="E9" i="26"/>
  <c r="G8" i="26"/>
  <c r="E8" i="26"/>
  <c r="G7" i="26"/>
  <c r="E7" i="26"/>
  <c r="G6" i="26"/>
  <c r="E6" i="26"/>
  <c r="G5" i="26"/>
  <c r="E5" i="26"/>
  <c r="G4" i="26"/>
  <c r="E4" i="26"/>
  <c r="F28" i="4"/>
  <c r="P18" i="28" l="1"/>
  <c r="AD4" i="28"/>
  <c r="AD5" i="28"/>
  <c r="AD6" i="28"/>
  <c r="T29" i="28"/>
  <c r="AD10" i="28"/>
  <c r="P4" i="28"/>
  <c r="P6" i="28"/>
  <c r="P5" i="28"/>
  <c r="P10" i="28"/>
  <c r="AD25" i="28"/>
  <c r="P17" i="28"/>
  <c r="J29" i="28"/>
  <c r="F29" i="28"/>
  <c r="N29" i="28"/>
  <c r="P8" i="28"/>
  <c r="P20" i="28"/>
  <c r="P16" i="28"/>
  <c r="P14" i="28"/>
  <c r="P22" i="28"/>
  <c r="P13" i="28"/>
  <c r="AD16" i="28"/>
  <c r="AD28" i="28"/>
  <c r="AD9" i="28"/>
  <c r="AD21" i="28"/>
  <c r="AD14" i="28"/>
  <c r="AD26" i="28"/>
  <c r="AD7" i="28"/>
  <c r="AD19" i="28"/>
  <c r="AD12" i="28"/>
  <c r="AD24" i="28"/>
  <c r="AD17" i="28"/>
  <c r="AD22" i="28"/>
  <c r="AD15" i="28"/>
  <c r="AD27" i="28"/>
  <c r="AD8" i="28"/>
  <c r="AD20" i="28"/>
  <c r="AD13" i="28"/>
  <c r="AD18" i="28"/>
  <c r="AD11" i="28"/>
  <c r="AD23" i="28"/>
  <c r="P25" i="28"/>
  <c r="P7" i="28"/>
  <c r="P19" i="28"/>
  <c r="P28" i="28"/>
  <c r="P15" i="28"/>
  <c r="P27" i="28"/>
  <c r="P11" i="28"/>
  <c r="P23" i="28"/>
  <c r="P9" i="28"/>
  <c r="P21" i="28"/>
  <c r="P26" i="28"/>
  <c r="P12" i="28"/>
  <c r="P24" i="28"/>
  <c r="B12" i="27"/>
  <c r="B16" i="27"/>
  <c r="B17" i="27"/>
  <c r="B18" i="27"/>
  <c r="B24" i="27"/>
  <c r="B25" i="27"/>
  <c r="B13" i="27"/>
  <c r="B26" i="27"/>
  <c r="B14" i="27"/>
  <c r="B4" i="27"/>
  <c r="B28" i="27"/>
  <c r="B5" i="27"/>
  <c r="B29" i="27"/>
  <c r="B6" i="27"/>
  <c r="B7" i="27"/>
  <c r="B19" i="27"/>
  <c r="B8" i="27"/>
  <c r="B20" i="27"/>
  <c r="B9" i="27"/>
  <c r="B21" i="27"/>
  <c r="B10" i="27"/>
  <c r="B22" i="27"/>
  <c r="E29" i="26"/>
  <c r="G29" i="26"/>
  <c r="B11" i="27"/>
  <c r="B23" i="27"/>
  <c r="B15" i="27"/>
  <c r="AF5" i="28" l="1"/>
  <c r="AE5" i="28"/>
  <c r="AF19" i="28"/>
  <c r="AF21" i="28"/>
  <c r="AF17" i="28"/>
  <c r="AF6" i="28"/>
  <c r="AF28" i="28"/>
  <c r="AF7" i="28"/>
  <c r="AF8" i="28"/>
  <c r="AF13" i="28"/>
  <c r="AF18" i="28"/>
  <c r="AF26" i="28"/>
  <c r="Z4" i="28"/>
  <c r="AF20" i="28"/>
  <c r="AF14" i="28"/>
  <c r="AF24" i="28"/>
  <c r="AF9" i="28"/>
  <c r="AF15" i="28"/>
  <c r="AF25" i="28"/>
  <c r="AF10" i="28"/>
  <c r="AF27" i="28"/>
  <c r="AF12" i="28"/>
  <c r="AF22" i="28"/>
  <c r="AF4" i="28"/>
  <c r="AF11" i="28"/>
  <c r="AF16" i="28"/>
  <c r="AF23" i="28"/>
  <c r="Z5" i="28"/>
  <c r="AI5" i="28" s="1"/>
  <c r="Z6" i="28"/>
  <c r="AI6" i="28" s="1"/>
  <c r="AE4" i="28"/>
  <c r="Z10" i="28"/>
  <c r="AI10" i="28" s="1"/>
  <c r="Z25" i="28"/>
  <c r="AI25" i="28" s="1"/>
  <c r="P29" i="28"/>
  <c r="AE19" i="28"/>
  <c r="AE7" i="28"/>
  <c r="AE9" i="28"/>
  <c r="AE26" i="28"/>
  <c r="AE8" i="28"/>
  <c r="AE21" i="28"/>
  <c r="AE24" i="28"/>
  <c r="AE6" i="28"/>
  <c r="AE11" i="28"/>
  <c r="AE23" i="28"/>
  <c r="AE22" i="28"/>
  <c r="AE12" i="28"/>
  <c r="AE25" i="28"/>
  <c r="AE14" i="28"/>
  <c r="AE15" i="28"/>
  <c r="AE27" i="28"/>
  <c r="AE13" i="28"/>
  <c r="AE16" i="28"/>
  <c r="AE28" i="28"/>
  <c r="AE17" i="28"/>
  <c r="AE18" i="28"/>
  <c r="AE10" i="28"/>
  <c r="AE20" i="28"/>
  <c r="Z22" i="28"/>
  <c r="AI22" i="28" s="1"/>
  <c r="Z9" i="28"/>
  <c r="AI9" i="28" s="1"/>
  <c r="Z11" i="28"/>
  <c r="AI11" i="28" s="1"/>
  <c r="Z13" i="28"/>
  <c r="AI13" i="28" s="1"/>
  <c r="Z27" i="28"/>
  <c r="AI27" i="28" s="1"/>
  <c r="Z24" i="28"/>
  <c r="AI24" i="28" s="1"/>
  <c r="Z26" i="28"/>
  <c r="AI26" i="28" s="1"/>
  <c r="Z14" i="28"/>
  <c r="AI14" i="28" s="1"/>
  <c r="Z20" i="28"/>
  <c r="AI20" i="28" s="1"/>
  <c r="Z16" i="28"/>
  <c r="AI16" i="28" s="1"/>
  <c r="Z8" i="28"/>
  <c r="AI8" i="28" s="1"/>
  <c r="Z28" i="28"/>
  <c r="AI28" i="28" s="1"/>
  <c r="Z23" i="28"/>
  <c r="AI23" i="28" s="1"/>
  <c r="Z15" i="28"/>
  <c r="AI15" i="28" s="1"/>
  <c r="Z19" i="28"/>
  <c r="AI19" i="28" s="1"/>
  <c r="Z17" i="28"/>
  <c r="AI17" i="28" s="1"/>
  <c r="Z21" i="28"/>
  <c r="AI21" i="28" s="1"/>
  <c r="Z18" i="28"/>
  <c r="AI18" i="28" s="1"/>
  <c r="Z7" i="28"/>
  <c r="AI7" i="28" s="1"/>
  <c r="Z12" i="28"/>
  <c r="AI12" i="28" s="1"/>
  <c r="E4" i="27"/>
  <c r="E16" i="27"/>
  <c r="E28" i="27"/>
  <c r="D15" i="27"/>
  <c r="D27" i="27"/>
  <c r="G14" i="27"/>
  <c r="G26" i="27"/>
  <c r="E20" i="27"/>
  <c r="G18" i="27"/>
  <c r="D11" i="27"/>
  <c r="D25" i="27"/>
  <c r="G25" i="27"/>
  <c r="E5" i="27"/>
  <c r="E17" i="27"/>
  <c r="D4" i="27"/>
  <c r="D16" i="27"/>
  <c r="D28" i="27"/>
  <c r="G15" i="27"/>
  <c r="G27" i="27"/>
  <c r="D7" i="27"/>
  <c r="G9" i="27"/>
  <c r="D12" i="27"/>
  <c r="D26" i="27"/>
  <c r="E6" i="27"/>
  <c r="E18" i="27"/>
  <c r="D5" i="27"/>
  <c r="D17" i="27"/>
  <c r="G4" i="27"/>
  <c r="G16" i="27"/>
  <c r="G28" i="27"/>
  <c r="G6" i="27"/>
  <c r="D23" i="27"/>
  <c r="G12" i="27"/>
  <c r="E7" i="27"/>
  <c r="E19" i="27"/>
  <c r="D6" i="27"/>
  <c r="D18" i="27"/>
  <c r="G5" i="27"/>
  <c r="G17" i="27"/>
  <c r="E8" i="27"/>
  <c r="D19" i="27"/>
  <c r="E24" i="27"/>
  <c r="G24" i="27"/>
  <c r="E9" i="27"/>
  <c r="E21" i="27"/>
  <c r="D8" i="27"/>
  <c r="D20" i="27"/>
  <c r="G7" i="27"/>
  <c r="G19" i="27"/>
  <c r="E22" i="27"/>
  <c r="D9" i="27"/>
  <c r="D21" i="27"/>
  <c r="G20" i="27"/>
  <c r="G21" i="27"/>
  <c r="G10" i="27"/>
  <c r="G23" i="27"/>
  <c r="D13" i="27"/>
  <c r="G13" i="27"/>
  <c r="E10" i="27"/>
  <c r="G8" i="27"/>
  <c r="G22" i="27"/>
  <c r="D24" i="27"/>
  <c r="E27" i="27"/>
  <c r="E11" i="27"/>
  <c r="E23" i="27"/>
  <c r="D10" i="27"/>
  <c r="D22" i="27"/>
  <c r="G11" i="27"/>
  <c r="E15" i="27"/>
  <c r="E12" i="27"/>
  <c r="E26" i="27"/>
  <c r="E13" i="27"/>
  <c r="E25" i="27"/>
  <c r="D14" i="27"/>
  <c r="E14" i="27"/>
  <c r="F5" i="27"/>
  <c r="C21" i="27"/>
  <c r="C9" i="27"/>
  <c r="F26" i="27"/>
  <c r="H18" i="27"/>
  <c r="H5" i="27"/>
  <c r="C5" i="27"/>
  <c r="F21" i="27"/>
  <c r="F18" i="27"/>
  <c r="H21" i="27"/>
  <c r="F9" i="27"/>
  <c r="C26" i="27"/>
  <c r="H26" i="27"/>
  <c r="H9" i="27"/>
  <c r="H22" i="27"/>
  <c r="C22" i="27"/>
  <c r="F22" i="27"/>
  <c r="F16" i="27"/>
  <c r="H27" i="27"/>
  <c r="C29" i="27"/>
  <c r="F25" i="27"/>
  <c r="F17" i="27"/>
  <c r="H12" i="27"/>
  <c r="C17" i="27"/>
  <c r="H8" i="27"/>
  <c r="C25" i="27"/>
  <c r="D29" i="27"/>
  <c r="G29" i="27"/>
  <c r="F13" i="27"/>
  <c r="H23" i="27"/>
  <c r="F29" i="27"/>
  <c r="H28" i="27"/>
  <c r="C19" i="27"/>
  <c r="F10" i="27"/>
  <c r="C11" i="27"/>
  <c r="C28" i="27"/>
  <c r="C16" i="27"/>
  <c r="H11" i="27"/>
  <c r="C4" i="27"/>
  <c r="F24" i="27"/>
  <c r="H19" i="27"/>
  <c r="H16" i="27"/>
  <c r="H25" i="27"/>
  <c r="F6" i="27"/>
  <c r="C23" i="27"/>
  <c r="F12" i="27"/>
  <c r="H7" i="27"/>
  <c r="H4" i="27"/>
  <c r="H24" i="27"/>
  <c r="H20" i="27"/>
  <c r="C13" i="27"/>
  <c r="F15" i="27"/>
  <c r="H10" i="27"/>
  <c r="F4" i="27"/>
  <c r="F23" i="27"/>
  <c r="C24" i="27"/>
  <c r="F7" i="27"/>
  <c r="C8" i="27"/>
  <c r="F27" i="27"/>
  <c r="C27" i="27"/>
  <c r="F11" i="27"/>
  <c r="C12" i="27"/>
  <c r="H14" i="27"/>
  <c r="H13" i="27"/>
  <c r="H17" i="27"/>
  <c r="C15" i="27"/>
  <c r="E29" i="27"/>
  <c r="F20" i="27"/>
  <c r="C10" i="27"/>
  <c r="H29" i="27"/>
  <c r="C7" i="27"/>
  <c r="F8" i="27"/>
  <c r="H15" i="27"/>
  <c r="C18" i="27"/>
  <c r="C20" i="27"/>
  <c r="C6" i="27"/>
  <c r="F14" i="27"/>
  <c r="C14" i="27"/>
  <c r="H6" i="27"/>
  <c r="F28" i="27"/>
  <c r="F19" i="27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J27" i="10"/>
  <c r="J26" i="10"/>
  <c r="J25" i="10"/>
  <c r="J24" i="10"/>
  <c r="J23" i="10"/>
  <c r="J22" i="10"/>
  <c r="J21" i="10"/>
  <c r="J20" i="10"/>
  <c r="J19" i="10"/>
  <c r="J18" i="10"/>
  <c r="J17" i="10"/>
  <c r="J16" i="10"/>
  <c r="J15" i="10"/>
  <c r="J14" i="10"/>
  <c r="J13" i="10"/>
  <c r="J12" i="10"/>
  <c r="J11" i="10"/>
  <c r="J10" i="10"/>
  <c r="J9" i="10"/>
  <c r="J8" i="10"/>
  <c r="J7" i="10"/>
  <c r="J6" i="10"/>
  <c r="J5" i="10"/>
  <c r="J4" i="10"/>
  <c r="J3" i="10"/>
  <c r="AB4" i="28" l="1"/>
  <c r="AI4" i="28"/>
  <c r="AA4" i="28"/>
  <c r="AB17" i="28"/>
  <c r="AB5" i="28"/>
  <c r="AB28" i="28"/>
  <c r="AB16" i="28"/>
  <c r="AB27" i="28"/>
  <c r="AB15" i="28"/>
  <c r="AB26" i="28"/>
  <c r="AB14" i="28"/>
  <c r="AB25" i="28"/>
  <c r="AB13" i="28"/>
  <c r="AB24" i="28"/>
  <c r="AB12" i="28"/>
  <c r="AB23" i="28"/>
  <c r="AB11" i="28"/>
  <c r="AB22" i="28"/>
  <c r="AB10" i="28"/>
  <c r="AB8" i="28"/>
  <c r="AB21" i="28"/>
  <c r="AB9" i="28"/>
  <c r="AA5" i="28"/>
  <c r="AB20" i="28"/>
  <c r="AB19" i="28"/>
  <c r="AB7" i="28"/>
  <c r="AB18" i="28"/>
  <c r="AB6" i="28"/>
  <c r="AA8" i="28"/>
  <c r="AA14" i="28"/>
  <c r="AA16" i="28"/>
  <c r="AA20" i="28"/>
  <c r="AA28" i="28"/>
  <c r="AA17" i="28"/>
  <c r="AA18" i="28"/>
  <c r="AA9" i="28"/>
  <c r="AA11" i="28"/>
  <c r="AA23" i="28"/>
  <c r="AA21" i="28"/>
  <c r="AA22" i="28"/>
  <c r="AA12" i="28"/>
  <c r="AA24" i="28"/>
  <c r="AA10" i="28"/>
  <c r="AA13" i="28"/>
  <c r="AA25" i="28"/>
  <c r="AA7" i="28"/>
  <c r="AA26" i="28"/>
  <c r="AA15" i="28"/>
  <c r="AA27" i="28"/>
  <c r="AA6" i="28"/>
  <c r="AA19" i="28"/>
  <c r="J28" i="2"/>
  <c r="J28" i="10"/>
  <c r="F28" i="3" l="1"/>
  <c r="C28" i="3"/>
  <c r="G3" i="1" l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C28" i="1" l="1"/>
  <c r="AE22" i="14" l="1"/>
  <c r="AE10" i="14"/>
  <c r="AE16" i="14"/>
  <c r="AE13" i="14"/>
  <c r="AE21" i="14"/>
  <c r="AE9" i="14"/>
  <c r="AE15" i="14"/>
  <c r="AE12" i="14"/>
  <c r="AE20" i="14"/>
  <c r="AE8" i="14"/>
  <c r="AA28" i="14"/>
  <c r="AE24" i="14"/>
  <c r="AE19" i="14"/>
  <c r="AE7" i="14"/>
  <c r="AA4" i="14"/>
  <c r="AE25" i="14"/>
  <c r="AE4" i="14"/>
  <c r="AE18" i="14"/>
  <c r="AE6" i="14"/>
  <c r="AE5" i="14"/>
  <c r="AE14" i="14"/>
  <c r="AE11" i="14"/>
  <c r="AE29" i="14"/>
  <c r="AE17" i="14"/>
  <c r="AE23" i="14"/>
  <c r="AE28" i="14"/>
  <c r="AE27" i="14"/>
  <c r="AE26" i="14"/>
  <c r="B4" i="14"/>
  <c r="AA18" i="14"/>
  <c r="AA21" i="14"/>
  <c r="AA8" i="14"/>
  <c r="AA14" i="14"/>
  <c r="AA12" i="14"/>
  <c r="AA9" i="14"/>
  <c r="AA20" i="14"/>
  <c r="AA7" i="14"/>
  <c r="AA13" i="14"/>
  <c r="AA11" i="14"/>
  <c r="AA19" i="14"/>
  <c r="AA6" i="14"/>
  <c r="AA15" i="14"/>
  <c r="AA24" i="14"/>
  <c r="AA5" i="14"/>
  <c r="AA17" i="14"/>
  <c r="AA25" i="14"/>
  <c r="AA10" i="14"/>
  <c r="AA29" i="14"/>
  <c r="AA16" i="14"/>
  <c r="AA26" i="14"/>
  <c r="AA22" i="14"/>
  <c r="AA27" i="14"/>
  <c r="AA23" i="14"/>
  <c r="B29" i="14"/>
  <c r="AC4" i="14" l="1"/>
  <c r="AG21" i="14"/>
  <c r="AG24" i="14"/>
  <c r="AF29" i="14"/>
  <c r="AG29" i="14"/>
  <c r="AG20" i="14"/>
  <c r="AG7" i="14"/>
  <c r="AF10" i="14"/>
  <c r="AF17" i="14"/>
  <c r="AF12" i="14"/>
  <c r="AF15" i="14"/>
  <c r="AG15" i="14"/>
  <c r="AF8" i="14"/>
  <c r="AF11" i="14"/>
  <c r="AF28" i="14"/>
  <c r="AF19" i="14"/>
  <c r="AF22" i="14"/>
  <c r="AF24" i="14"/>
  <c r="AF27" i="14"/>
  <c r="AG27" i="14"/>
  <c r="AF20" i="14"/>
  <c r="AF23" i="14"/>
  <c r="AG14" i="14"/>
  <c r="AG17" i="14"/>
  <c r="AG10" i="14"/>
  <c r="AG13" i="14"/>
  <c r="AF6" i="14"/>
  <c r="AG6" i="14"/>
  <c r="AG9" i="14"/>
  <c r="AG28" i="14"/>
  <c r="AF26" i="14"/>
  <c r="AG22" i="14"/>
  <c r="AG25" i="14"/>
  <c r="AF18" i="14"/>
  <c r="AG18" i="14"/>
  <c r="AG26" i="14"/>
  <c r="AG12" i="14"/>
  <c r="AF13" i="14"/>
  <c r="AF4" i="14"/>
  <c r="AG4" i="14"/>
  <c r="AF9" i="14"/>
  <c r="AF7" i="14"/>
  <c r="AG5" i="14"/>
  <c r="AF25" i="14"/>
  <c r="AF16" i="14"/>
  <c r="AG16" i="14"/>
  <c r="AF21" i="14"/>
  <c r="AG19" i="14"/>
  <c r="AF5" i="14"/>
  <c r="AG8" i="14"/>
  <c r="AG11" i="14"/>
  <c r="AG23" i="14"/>
  <c r="AF14" i="14"/>
  <c r="AB27" i="14"/>
  <c r="AC27" i="14"/>
  <c r="AC29" i="14"/>
  <c r="AB22" i="14"/>
  <c r="AC14" i="14"/>
  <c r="AB10" i="14"/>
  <c r="AC16" i="14"/>
  <c r="AB7" i="14"/>
  <c r="AB26" i="14"/>
  <c r="AB8" i="14"/>
  <c r="AC11" i="14"/>
  <c r="AC20" i="14"/>
  <c r="AC12" i="14"/>
  <c r="AB13" i="14"/>
  <c r="AB12" i="14"/>
  <c r="AB15" i="14"/>
  <c r="AC10" i="14"/>
  <c r="AC28" i="14"/>
  <c r="AC7" i="14"/>
  <c r="AC19" i="14"/>
  <c r="AB5" i="14"/>
  <c r="AB24" i="14"/>
  <c r="AC17" i="14"/>
  <c r="AB14" i="14"/>
  <c r="AB6" i="14"/>
  <c r="AC9" i="14"/>
  <c r="AC18" i="14"/>
  <c r="AC25" i="14"/>
  <c r="AB23" i="14"/>
  <c r="AC15" i="14"/>
  <c r="AC22" i="14"/>
  <c r="AB18" i="14"/>
  <c r="AC8" i="14"/>
  <c r="AC23" i="14"/>
  <c r="AB20" i="14"/>
  <c r="AB28" i="14"/>
  <c r="AB21" i="14"/>
  <c r="AB11" i="14"/>
  <c r="AB19" i="14"/>
  <c r="AC6" i="14"/>
  <c r="AC21" i="14"/>
  <c r="AC13" i="14"/>
  <c r="AC5" i="14"/>
  <c r="AB16" i="14"/>
  <c r="AB9" i="14"/>
  <c r="AB4" i="14"/>
  <c r="AC26" i="14"/>
  <c r="AC24" i="14"/>
  <c r="AB17" i="14"/>
  <c r="AB29" i="14"/>
  <c r="AB25" i="14"/>
  <c r="B6" i="14"/>
  <c r="B10" i="14"/>
  <c r="B14" i="14"/>
  <c r="B18" i="14"/>
  <c r="B22" i="14"/>
  <c r="B26" i="14"/>
  <c r="B7" i="14"/>
  <c r="B11" i="14"/>
  <c r="B15" i="14"/>
  <c r="B19" i="14"/>
  <c r="B23" i="14"/>
  <c r="B27" i="14"/>
  <c r="B8" i="14"/>
  <c r="B12" i="14"/>
  <c r="B16" i="14"/>
  <c r="B20" i="14"/>
  <c r="B24" i="14"/>
  <c r="B28" i="14"/>
  <c r="B5" i="14"/>
  <c r="B9" i="14"/>
  <c r="B13" i="14"/>
  <c r="B17" i="14"/>
  <c r="B21" i="14"/>
  <c r="B25" i="14"/>
  <c r="AG30" i="14" l="1"/>
  <c r="AC30" i="14"/>
  <c r="F11" i="14"/>
  <c r="D4" i="14"/>
  <c r="D5" i="14"/>
  <c r="C5" i="14"/>
  <c r="C4" i="14"/>
  <c r="E4" i="14"/>
  <c r="E16" i="14"/>
  <c r="E28" i="14"/>
  <c r="G15" i="14"/>
  <c r="G27" i="14"/>
  <c r="D14" i="14"/>
  <c r="D26" i="14"/>
  <c r="E11" i="14"/>
  <c r="E13" i="14"/>
  <c r="D23" i="14"/>
  <c r="E15" i="14"/>
  <c r="E5" i="14"/>
  <c r="E17" i="14"/>
  <c r="G16" i="14"/>
  <c r="G28" i="14"/>
  <c r="D15" i="14"/>
  <c r="D27" i="14"/>
  <c r="G21" i="14"/>
  <c r="G10" i="14"/>
  <c r="G23" i="14"/>
  <c r="G24" i="14"/>
  <c r="G25" i="14"/>
  <c r="D25" i="14"/>
  <c r="E6" i="14"/>
  <c r="E18" i="14"/>
  <c r="G5" i="14"/>
  <c r="G17" i="14"/>
  <c r="D16" i="14"/>
  <c r="D28" i="14"/>
  <c r="D20" i="14"/>
  <c r="G22" i="14"/>
  <c r="G11" i="14"/>
  <c r="E14" i="14"/>
  <c r="D13" i="14"/>
  <c r="E7" i="14"/>
  <c r="E19" i="14"/>
  <c r="G6" i="14"/>
  <c r="G18" i="14"/>
  <c r="D17" i="14"/>
  <c r="G9" i="14"/>
  <c r="D9" i="14"/>
  <c r="D10" i="14"/>
  <c r="D11" i="14"/>
  <c r="D12" i="14"/>
  <c r="E27" i="14"/>
  <c r="E8" i="14"/>
  <c r="E20" i="14"/>
  <c r="G7" i="14"/>
  <c r="G19" i="14"/>
  <c r="D6" i="14"/>
  <c r="D18" i="14"/>
  <c r="D8" i="14"/>
  <c r="E23" i="14"/>
  <c r="D22" i="14"/>
  <c r="E25" i="14"/>
  <c r="G13" i="14"/>
  <c r="G14" i="14"/>
  <c r="E9" i="14"/>
  <c r="E21" i="14"/>
  <c r="G8" i="14"/>
  <c r="G20" i="14"/>
  <c r="D7" i="14"/>
  <c r="D19" i="14"/>
  <c r="E22" i="14"/>
  <c r="E24" i="14"/>
  <c r="G12" i="14"/>
  <c r="D24" i="14"/>
  <c r="G26" i="14"/>
  <c r="E10" i="14"/>
  <c r="E26" i="14"/>
  <c r="D21" i="14"/>
  <c r="E12" i="14"/>
  <c r="C22" i="14"/>
  <c r="C29" i="14"/>
  <c r="C13" i="14"/>
  <c r="C18" i="14"/>
  <c r="C25" i="14"/>
  <c r="C9" i="14"/>
  <c r="C14" i="14"/>
  <c r="C17" i="14"/>
  <c r="C6" i="14"/>
  <c r="C21" i="14"/>
  <c r="C26" i="14"/>
  <c r="C10" i="14"/>
  <c r="D29" i="14"/>
  <c r="C27" i="14"/>
  <c r="C23" i="14"/>
  <c r="C19" i="14"/>
  <c r="C15" i="14"/>
  <c r="C11" i="14"/>
  <c r="C7" i="14"/>
  <c r="C28" i="14"/>
  <c r="C24" i="14"/>
  <c r="C20" i="14"/>
  <c r="C16" i="14"/>
  <c r="C12" i="14"/>
  <c r="C8" i="14"/>
  <c r="E4" i="11"/>
  <c r="G4" i="11"/>
  <c r="F28" i="10" l="1"/>
  <c r="G27" i="10" l="1"/>
  <c r="G10" i="2" l="1"/>
  <c r="E27" i="10" l="1"/>
  <c r="F28" i="6" l="1"/>
  <c r="C28" i="6"/>
  <c r="C28" i="4" l="1"/>
  <c r="D28" i="1" l="1"/>
  <c r="E29" i="14" l="1"/>
  <c r="E28" i="1"/>
  <c r="V4" i="14" s="1"/>
  <c r="F24" i="2"/>
  <c r="V29" i="14" l="1"/>
  <c r="V19" i="14"/>
  <c r="V25" i="14"/>
  <c r="V17" i="14"/>
  <c r="V21" i="14"/>
  <c r="V20" i="14"/>
  <c r="V22" i="14"/>
  <c r="V12" i="14"/>
  <c r="V8" i="14"/>
  <c r="V14" i="14"/>
  <c r="V26" i="14"/>
  <c r="V23" i="14"/>
  <c r="V27" i="14"/>
  <c r="V24" i="14"/>
  <c r="V9" i="14"/>
  <c r="V5" i="14"/>
  <c r="V10" i="14"/>
  <c r="V6" i="14"/>
  <c r="V11" i="14"/>
  <c r="V28" i="14"/>
  <c r="V15" i="14"/>
  <c r="V18" i="14"/>
  <c r="V16" i="14"/>
  <c r="V7" i="14"/>
  <c r="V13" i="14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4" i="10"/>
  <c r="G3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3" i="10"/>
  <c r="C28" i="10"/>
  <c r="X4" i="14" l="1"/>
  <c r="X14" i="14"/>
  <c r="W4" i="14"/>
  <c r="X29" i="14"/>
  <c r="X5" i="14"/>
  <c r="X18" i="14"/>
  <c r="W5" i="14"/>
  <c r="X27" i="14"/>
  <c r="W9" i="14"/>
  <c r="W27" i="14"/>
  <c r="X10" i="14"/>
  <c r="X26" i="14"/>
  <c r="X16" i="14"/>
  <c r="W7" i="14"/>
  <c r="X21" i="14"/>
  <c r="W19" i="14"/>
  <c r="W10" i="14"/>
  <c r="W22" i="14"/>
  <c r="W21" i="14"/>
  <c r="W16" i="14"/>
  <c r="X22" i="14"/>
  <c r="X12" i="14"/>
  <c r="X9" i="14"/>
  <c r="W11" i="14"/>
  <c r="X15" i="14"/>
  <c r="X28" i="14"/>
  <c r="W23" i="14"/>
  <c r="W18" i="14"/>
  <c r="W25" i="14"/>
  <c r="W24" i="14"/>
  <c r="X19" i="14"/>
  <c r="X11" i="14"/>
  <c r="W13" i="14"/>
  <c r="W17" i="14"/>
  <c r="X23" i="14"/>
  <c r="W15" i="14"/>
  <c r="W29" i="14"/>
  <c r="W8" i="14"/>
  <c r="X24" i="14"/>
  <c r="W12" i="14"/>
  <c r="X6" i="14"/>
  <c r="X17" i="14"/>
  <c r="W20" i="14"/>
  <c r="X25" i="14"/>
  <c r="W28" i="14"/>
  <c r="X8" i="14"/>
  <c r="X13" i="14"/>
  <c r="X7" i="14"/>
  <c r="W6" i="14"/>
  <c r="X20" i="14"/>
  <c r="W14" i="14"/>
  <c r="W26" i="14"/>
  <c r="E28" i="10"/>
  <c r="G28" i="10"/>
  <c r="X30" i="14" l="1"/>
  <c r="H3" i="23"/>
  <c r="G3" i="23"/>
  <c r="F3" i="23"/>
  <c r="E3" i="23"/>
  <c r="D3" i="23"/>
  <c r="C3" i="23"/>
  <c r="H3" i="22"/>
  <c r="G3" i="22"/>
  <c r="F3" i="22"/>
  <c r="E3" i="22"/>
  <c r="D3" i="22"/>
  <c r="C3" i="22"/>
  <c r="H3" i="21"/>
  <c r="G3" i="21"/>
  <c r="F3" i="21"/>
  <c r="E3" i="21"/>
  <c r="D3" i="21"/>
  <c r="C3" i="21"/>
  <c r="H3" i="20"/>
  <c r="G3" i="20"/>
  <c r="F3" i="20"/>
  <c r="E3" i="20"/>
  <c r="D3" i="20"/>
  <c r="C3" i="20"/>
  <c r="H3" i="19"/>
  <c r="G3" i="19"/>
  <c r="F3" i="19"/>
  <c r="E3" i="19"/>
  <c r="D3" i="19"/>
  <c r="C3" i="19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4" i="15"/>
  <c r="H3" i="18"/>
  <c r="G3" i="18"/>
  <c r="F3" i="18"/>
  <c r="E3" i="18"/>
  <c r="D3" i="18"/>
  <c r="C3" i="18"/>
  <c r="H3" i="15"/>
  <c r="G3" i="15"/>
  <c r="F3" i="15"/>
  <c r="E3" i="15"/>
  <c r="D3" i="15"/>
  <c r="C3" i="15"/>
  <c r="H3" i="14"/>
  <c r="G3" i="14"/>
  <c r="F3" i="14"/>
  <c r="E3" i="14"/>
  <c r="D3" i="14"/>
  <c r="C3" i="14"/>
  <c r="C19" i="15" l="1"/>
  <c r="D26" i="15"/>
  <c r="D22" i="15"/>
  <c r="D18" i="15"/>
  <c r="D14" i="15"/>
  <c r="D10" i="15"/>
  <c r="D6" i="15"/>
  <c r="D29" i="15"/>
  <c r="D21" i="15"/>
  <c r="D13" i="15"/>
  <c r="D5" i="15"/>
  <c r="D27" i="15"/>
  <c r="D23" i="15"/>
  <c r="D19" i="15"/>
  <c r="D15" i="15"/>
  <c r="D11" i="15"/>
  <c r="D7" i="15"/>
  <c r="D25" i="15"/>
  <c r="D17" i="15"/>
  <c r="D9" i="15"/>
  <c r="D20" i="15"/>
  <c r="D4" i="15"/>
  <c r="D16" i="15"/>
  <c r="D28" i="15"/>
  <c r="D12" i="15"/>
  <c r="D24" i="15"/>
  <c r="D8" i="15"/>
  <c r="E4" i="15"/>
  <c r="H5" i="15"/>
  <c r="F29" i="15"/>
  <c r="G29" i="15"/>
  <c r="F5" i="15"/>
  <c r="C4" i="15"/>
  <c r="G4" i="15"/>
  <c r="E6" i="15"/>
  <c r="F7" i="15"/>
  <c r="C8" i="15"/>
  <c r="G8" i="15"/>
  <c r="H9" i="15"/>
  <c r="E10" i="15"/>
  <c r="F11" i="15"/>
  <c r="C12" i="15"/>
  <c r="G12" i="15"/>
  <c r="H13" i="15"/>
  <c r="E14" i="15"/>
  <c r="F15" i="15"/>
  <c r="C16" i="15"/>
  <c r="G16" i="15"/>
  <c r="H17" i="15"/>
  <c r="E18" i="15"/>
  <c r="F19" i="15"/>
  <c r="C20" i="15"/>
  <c r="G20" i="15"/>
  <c r="H21" i="15"/>
  <c r="E22" i="15"/>
  <c r="F23" i="15"/>
  <c r="C24" i="15"/>
  <c r="G24" i="15"/>
  <c r="H25" i="15"/>
  <c r="E26" i="15"/>
  <c r="F27" i="15"/>
  <c r="C28" i="15"/>
  <c r="G28" i="15"/>
  <c r="H29" i="15"/>
  <c r="H4" i="15"/>
  <c r="E5" i="15"/>
  <c r="F6" i="15"/>
  <c r="C7" i="15"/>
  <c r="G7" i="15"/>
  <c r="H8" i="15"/>
  <c r="E9" i="15"/>
  <c r="F10" i="15"/>
  <c r="C11" i="15"/>
  <c r="G11" i="15"/>
  <c r="H12" i="15"/>
  <c r="E13" i="15"/>
  <c r="F14" i="15"/>
  <c r="C15" i="15"/>
  <c r="G15" i="15"/>
  <c r="H16" i="15"/>
  <c r="E17" i="15"/>
  <c r="F18" i="15"/>
  <c r="G19" i="15"/>
  <c r="H20" i="15"/>
  <c r="E21" i="15"/>
  <c r="F22" i="15"/>
  <c r="C23" i="15"/>
  <c r="G23" i="15"/>
  <c r="H24" i="15"/>
  <c r="E25" i="15"/>
  <c r="F26" i="15"/>
  <c r="C27" i="15"/>
  <c r="G27" i="15"/>
  <c r="H28" i="15"/>
  <c r="E29" i="15"/>
  <c r="C6" i="15"/>
  <c r="G6" i="15"/>
  <c r="H7" i="15"/>
  <c r="E8" i="15"/>
  <c r="F9" i="15"/>
  <c r="C10" i="15"/>
  <c r="G10" i="15"/>
  <c r="H11" i="15"/>
  <c r="E12" i="15"/>
  <c r="F13" i="15"/>
  <c r="C14" i="15"/>
  <c r="G14" i="15"/>
  <c r="H15" i="15"/>
  <c r="E16" i="15"/>
  <c r="F17" i="15"/>
  <c r="C18" i="15"/>
  <c r="G18" i="15"/>
  <c r="H19" i="15"/>
  <c r="E20" i="15"/>
  <c r="F21" i="15"/>
  <c r="C22" i="15"/>
  <c r="G22" i="15"/>
  <c r="H23" i="15"/>
  <c r="E24" i="15"/>
  <c r="F25" i="15"/>
  <c r="C26" i="15"/>
  <c r="G26" i="15"/>
  <c r="H27" i="15"/>
  <c r="E28" i="15"/>
  <c r="F4" i="15"/>
  <c r="C5" i="15"/>
  <c r="G5" i="15"/>
  <c r="H6" i="15"/>
  <c r="E7" i="15"/>
  <c r="F8" i="15"/>
  <c r="C9" i="15"/>
  <c r="G9" i="15"/>
  <c r="H10" i="15"/>
  <c r="E11" i="15"/>
  <c r="F12" i="15"/>
  <c r="C13" i="15"/>
  <c r="G13" i="15"/>
  <c r="H14" i="15"/>
  <c r="E15" i="15"/>
  <c r="F16" i="15"/>
  <c r="C17" i="15"/>
  <c r="G17" i="15"/>
  <c r="H18" i="15"/>
  <c r="E19" i="15"/>
  <c r="F20" i="15"/>
  <c r="C21" i="15"/>
  <c r="G21" i="15"/>
  <c r="H22" i="15"/>
  <c r="E23" i="15"/>
  <c r="F24" i="15"/>
  <c r="C25" i="15"/>
  <c r="G25" i="15"/>
  <c r="H26" i="15"/>
  <c r="E27" i="15"/>
  <c r="F28" i="15"/>
  <c r="C29" i="15"/>
  <c r="G28" i="1" l="1"/>
  <c r="H29" i="14" s="1"/>
  <c r="G4" i="14"/>
  <c r="G29" i="14"/>
  <c r="B29" i="19"/>
  <c r="B25" i="19"/>
  <c r="B21" i="19"/>
  <c r="B17" i="19"/>
  <c r="B13" i="19"/>
  <c r="B9" i="19"/>
  <c r="B5" i="19"/>
  <c r="B28" i="19"/>
  <c r="B24" i="19"/>
  <c r="B20" i="19"/>
  <c r="B16" i="19"/>
  <c r="B12" i="19"/>
  <c r="B8" i="19"/>
  <c r="B27" i="19"/>
  <c r="B23" i="19"/>
  <c r="B19" i="19"/>
  <c r="B15" i="19"/>
  <c r="B11" i="19"/>
  <c r="B7" i="19"/>
  <c r="B26" i="19"/>
  <c r="B22" i="19"/>
  <c r="B18" i="19"/>
  <c r="B14" i="19"/>
  <c r="B10" i="19"/>
  <c r="B6" i="19"/>
  <c r="B4" i="19"/>
  <c r="B23" i="18"/>
  <c r="B19" i="18"/>
  <c r="B15" i="18"/>
  <c r="B11" i="18"/>
  <c r="B7" i="18"/>
  <c r="B22" i="18"/>
  <c r="B18" i="18"/>
  <c r="B14" i="18"/>
  <c r="B10" i="18"/>
  <c r="B6" i="18"/>
  <c r="B4" i="18"/>
  <c r="B25" i="18"/>
  <c r="B21" i="18"/>
  <c r="B17" i="18"/>
  <c r="B13" i="18"/>
  <c r="B9" i="18"/>
  <c r="B5" i="18"/>
  <c r="B24" i="18"/>
  <c r="B20" i="18"/>
  <c r="B16" i="18"/>
  <c r="B12" i="18"/>
  <c r="B8" i="18"/>
  <c r="F29" i="14"/>
  <c r="E4" i="18" l="1"/>
  <c r="E16" i="18"/>
  <c r="G7" i="18"/>
  <c r="G19" i="18"/>
  <c r="D10" i="18"/>
  <c r="D22" i="18"/>
  <c r="D24" i="18"/>
  <c r="G14" i="18"/>
  <c r="G4" i="18"/>
  <c r="G17" i="18"/>
  <c r="E5" i="18"/>
  <c r="E17" i="18"/>
  <c r="G8" i="18"/>
  <c r="G20" i="18"/>
  <c r="D11" i="18"/>
  <c r="D23" i="18"/>
  <c r="D12" i="18"/>
  <c r="D17" i="18"/>
  <c r="D18" i="18"/>
  <c r="G5" i="18"/>
  <c r="D9" i="18"/>
  <c r="E6" i="18"/>
  <c r="E18" i="18"/>
  <c r="G9" i="18"/>
  <c r="G21" i="18"/>
  <c r="E23" i="18"/>
  <c r="G16" i="18"/>
  <c r="D20" i="18"/>
  <c r="E7" i="18"/>
  <c r="E19" i="18"/>
  <c r="G10" i="18"/>
  <c r="G22" i="18"/>
  <c r="D13" i="18"/>
  <c r="D4" i="18"/>
  <c r="E24" i="18"/>
  <c r="D7" i="18"/>
  <c r="E15" i="18"/>
  <c r="E8" i="18"/>
  <c r="E20" i="18"/>
  <c r="G11" i="18"/>
  <c r="G23" i="18"/>
  <c r="D14" i="18"/>
  <c r="E11" i="18"/>
  <c r="D6" i="18"/>
  <c r="G18" i="18"/>
  <c r="E9" i="18"/>
  <c r="E21" i="18"/>
  <c r="G12" i="18"/>
  <c r="G24" i="18"/>
  <c r="D15" i="18"/>
  <c r="G13" i="18"/>
  <c r="D5" i="18"/>
  <c r="E13" i="18"/>
  <c r="D8" i="18"/>
  <c r="E10" i="18"/>
  <c r="E22" i="18"/>
  <c r="D16" i="18"/>
  <c r="G15" i="18"/>
  <c r="E14" i="18"/>
  <c r="D21" i="18"/>
  <c r="E12" i="18"/>
  <c r="D19" i="18"/>
  <c r="G6" i="18"/>
  <c r="D26" i="19"/>
  <c r="D22" i="19"/>
  <c r="D18" i="19"/>
  <c r="D14" i="19"/>
  <c r="D10" i="19"/>
  <c r="D6" i="19"/>
  <c r="D29" i="19"/>
  <c r="D21" i="19"/>
  <c r="D13" i="19"/>
  <c r="D5" i="19"/>
  <c r="D27" i="19"/>
  <c r="D23" i="19"/>
  <c r="D19" i="19"/>
  <c r="D15" i="19"/>
  <c r="D11" i="19"/>
  <c r="D7" i="19"/>
  <c r="D25" i="19"/>
  <c r="D17" i="19"/>
  <c r="D9" i="19"/>
  <c r="D20" i="19"/>
  <c r="D4" i="19"/>
  <c r="D16" i="19"/>
  <c r="D28" i="19"/>
  <c r="D12" i="19"/>
  <c r="D24" i="19"/>
  <c r="D8" i="19"/>
  <c r="D25" i="18"/>
  <c r="C6" i="19"/>
  <c r="G19" i="19"/>
  <c r="C27" i="19"/>
  <c r="G18" i="19"/>
  <c r="C5" i="19"/>
  <c r="E7" i="19"/>
  <c r="C13" i="19"/>
  <c r="E15" i="19"/>
  <c r="C21" i="19"/>
  <c r="E23" i="19"/>
  <c r="C29" i="19"/>
  <c r="E5" i="19"/>
  <c r="C15" i="19"/>
  <c r="E17" i="19"/>
  <c r="G23" i="19"/>
  <c r="G22" i="19"/>
  <c r="G4" i="19"/>
  <c r="G12" i="19"/>
  <c r="G20" i="19"/>
  <c r="G28" i="19"/>
  <c r="E24" i="19"/>
  <c r="C10" i="19"/>
  <c r="E12" i="19"/>
  <c r="C26" i="19"/>
  <c r="E28" i="19"/>
  <c r="G5" i="19"/>
  <c r="G13" i="19"/>
  <c r="G21" i="19"/>
  <c r="G29" i="19"/>
  <c r="C7" i="19"/>
  <c r="E9" i="19"/>
  <c r="G15" i="19"/>
  <c r="E25" i="19"/>
  <c r="C14" i="19"/>
  <c r="E16" i="19"/>
  <c r="C8" i="19"/>
  <c r="E10" i="19"/>
  <c r="C16" i="19"/>
  <c r="E18" i="19"/>
  <c r="C24" i="19"/>
  <c r="E26" i="19"/>
  <c r="G6" i="19"/>
  <c r="C11" i="19"/>
  <c r="E13" i="19"/>
  <c r="E29" i="19"/>
  <c r="G10" i="19"/>
  <c r="G26" i="19"/>
  <c r="C9" i="19"/>
  <c r="E11" i="19"/>
  <c r="C17" i="19"/>
  <c r="E19" i="19"/>
  <c r="C25" i="19"/>
  <c r="E27" i="19"/>
  <c r="G7" i="19"/>
  <c r="G14" i="19"/>
  <c r="G8" i="19"/>
  <c r="G16" i="19"/>
  <c r="G24" i="19"/>
  <c r="G11" i="19"/>
  <c r="C19" i="19"/>
  <c r="E21" i="19"/>
  <c r="E4" i="19"/>
  <c r="C18" i="19"/>
  <c r="E20" i="19"/>
  <c r="G9" i="19"/>
  <c r="G17" i="19"/>
  <c r="G25" i="19"/>
  <c r="C23" i="19"/>
  <c r="G27" i="19"/>
  <c r="E8" i="19"/>
  <c r="C22" i="19"/>
  <c r="C4" i="19"/>
  <c r="E6" i="19"/>
  <c r="C12" i="19"/>
  <c r="E14" i="19"/>
  <c r="C20" i="19"/>
  <c r="E22" i="19"/>
  <c r="C28" i="19"/>
  <c r="C4" i="18"/>
  <c r="C8" i="18"/>
  <c r="C16" i="18"/>
  <c r="C24" i="18"/>
  <c r="C7" i="18"/>
  <c r="C15" i="18"/>
  <c r="C23" i="18"/>
  <c r="E25" i="18"/>
  <c r="C10" i="18"/>
  <c r="C18" i="18"/>
  <c r="G25" i="18"/>
  <c r="C5" i="18"/>
  <c r="C13" i="18"/>
  <c r="C21" i="18"/>
  <c r="C12" i="18"/>
  <c r="C20" i="18"/>
  <c r="C11" i="18"/>
  <c r="C19" i="18"/>
  <c r="C6" i="18"/>
  <c r="C14" i="18"/>
  <c r="C22" i="18"/>
  <c r="C9" i="18"/>
  <c r="C17" i="18"/>
  <c r="C25" i="18"/>
  <c r="F29" i="11"/>
  <c r="D29" i="11"/>
  <c r="C29" i="11"/>
  <c r="G28" i="11"/>
  <c r="E28" i="11"/>
  <c r="G27" i="11"/>
  <c r="E27" i="11"/>
  <c r="G26" i="11"/>
  <c r="E26" i="11"/>
  <c r="G25" i="11"/>
  <c r="E25" i="11"/>
  <c r="G24" i="11"/>
  <c r="E24" i="11"/>
  <c r="G23" i="11"/>
  <c r="E23" i="11"/>
  <c r="G22" i="11"/>
  <c r="E22" i="11"/>
  <c r="G21" i="11"/>
  <c r="E21" i="11"/>
  <c r="G20" i="11"/>
  <c r="E20" i="11"/>
  <c r="G19" i="11"/>
  <c r="E19" i="11"/>
  <c r="G18" i="11"/>
  <c r="E18" i="11"/>
  <c r="G17" i="11"/>
  <c r="E17" i="11"/>
  <c r="G16" i="11"/>
  <c r="E16" i="11"/>
  <c r="G15" i="11"/>
  <c r="E15" i="11"/>
  <c r="G14" i="11"/>
  <c r="E14" i="11"/>
  <c r="G13" i="11"/>
  <c r="E13" i="11"/>
  <c r="G12" i="11"/>
  <c r="E12" i="11"/>
  <c r="G11" i="11"/>
  <c r="E11" i="11"/>
  <c r="G10" i="11"/>
  <c r="E10" i="11"/>
  <c r="G9" i="11"/>
  <c r="E9" i="11"/>
  <c r="G8" i="11"/>
  <c r="E8" i="11"/>
  <c r="G7" i="11"/>
  <c r="E7" i="11"/>
  <c r="G6" i="11"/>
  <c r="E6" i="11"/>
  <c r="G5" i="11"/>
  <c r="E5" i="11"/>
  <c r="B27" i="23" l="1"/>
  <c r="B23" i="23"/>
  <c r="B19" i="23"/>
  <c r="B15" i="23"/>
  <c r="B11" i="23"/>
  <c r="B7" i="23"/>
  <c r="B26" i="23"/>
  <c r="B22" i="23"/>
  <c r="B18" i="23"/>
  <c r="B14" i="23"/>
  <c r="B10" i="23"/>
  <c r="B6" i="23"/>
  <c r="B29" i="23"/>
  <c r="B25" i="23"/>
  <c r="B21" i="23"/>
  <c r="B17" i="23"/>
  <c r="B13" i="23"/>
  <c r="B9" i="23"/>
  <c r="B5" i="23"/>
  <c r="B28" i="23"/>
  <c r="B24" i="23"/>
  <c r="B20" i="23"/>
  <c r="B16" i="23"/>
  <c r="B12" i="23"/>
  <c r="B8" i="23"/>
  <c r="B4" i="23"/>
  <c r="E29" i="11"/>
  <c r="G29" i="11"/>
  <c r="D28" i="5"/>
  <c r="D29" i="23" l="1"/>
  <c r="D25" i="23"/>
  <c r="D21" i="23"/>
  <c r="D17" i="23"/>
  <c r="D13" i="23"/>
  <c r="D9" i="23"/>
  <c r="D5" i="23"/>
  <c r="D24" i="23"/>
  <c r="D20" i="23"/>
  <c r="D16" i="23"/>
  <c r="D12" i="23"/>
  <c r="D8" i="23"/>
  <c r="D4" i="23"/>
  <c r="D19" i="23"/>
  <c r="D15" i="23"/>
  <c r="D28" i="23"/>
  <c r="D27" i="23"/>
  <c r="D26" i="23"/>
  <c r="D22" i="23"/>
  <c r="D18" i="23"/>
  <c r="D14" i="23"/>
  <c r="D10" i="23"/>
  <c r="D6" i="23"/>
  <c r="D23" i="23"/>
  <c r="D11" i="23"/>
  <c r="D7" i="23"/>
  <c r="G5" i="23"/>
  <c r="F8" i="23"/>
  <c r="C25" i="23"/>
  <c r="E27" i="23"/>
  <c r="C8" i="23"/>
  <c r="H13" i="23"/>
  <c r="G24" i="23"/>
  <c r="F27" i="23"/>
  <c r="E5" i="23"/>
  <c r="C11" i="23"/>
  <c r="E13" i="23"/>
  <c r="C19" i="23"/>
  <c r="E21" i="23"/>
  <c r="C27" i="23"/>
  <c r="E29" i="23"/>
  <c r="H10" i="23"/>
  <c r="G13" i="23"/>
  <c r="F20" i="23"/>
  <c r="H22" i="23"/>
  <c r="G4" i="23"/>
  <c r="G8" i="23"/>
  <c r="F11" i="23"/>
  <c r="C20" i="23"/>
  <c r="E22" i="23"/>
  <c r="E4" i="23"/>
  <c r="C10" i="23"/>
  <c r="E12" i="23"/>
  <c r="C18" i="23"/>
  <c r="E20" i="23"/>
  <c r="C26" i="23"/>
  <c r="E28" i="23"/>
  <c r="F29" i="23"/>
  <c r="F16" i="23"/>
  <c r="H18" i="23"/>
  <c r="G25" i="23"/>
  <c r="F28" i="23"/>
  <c r="C12" i="23"/>
  <c r="E14" i="23"/>
  <c r="H29" i="23"/>
  <c r="F6" i="23"/>
  <c r="H8" i="23"/>
  <c r="G11" i="23"/>
  <c r="F14" i="23"/>
  <c r="H16" i="23"/>
  <c r="G19" i="23"/>
  <c r="F22" i="23"/>
  <c r="H24" i="23"/>
  <c r="G27" i="23"/>
  <c r="C9" i="23"/>
  <c r="E11" i="23"/>
  <c r="C21" i="23"/>
  <c r="E23" i="23"/>
  <c r="F15" i="23"/>
  <c r="H17" i="23"/>
  <c r="G20" i="23"/>
  <c r="C28" i="23"/>
  <c r="F5" i="23"/>
  <c r="H7" i="23"/>
  <c r="G10" i="23"/>
  <c r="F13" i="23"/>
  <c r="H15" i="23"/>
  <c r="G18" i="23"/>
  <c r="F21" i="23"/>
  <c r="H23" i="23"/>
  <c r="G26" i="23"/>
  <c r="H11" i="23"/>
  <c r="H19" i="23"/>
  <c r="G22" i="23"/>
  <c r="H27" i="23"/>
  <c r="F4" i="23"/>
  <c r="H6" i="23"/>
  <c r="C17" i="23"/>
  <c r="E19" i="23"/>
  <c r="G29" i="23"/>
  <c r="G12" i="23"/>
  <c r="F23" i="23"/>
  <c r="H25" i="23"/>
  <c r="C7" i="23"/>
  <c r="E9" i="23"/>
  <c r="C15" i="23"/>
  <c r="E17" i="23"/>
  <c r="C23" i="23"/>
  <c r="E25" i="23"/>
  <c r="G9" i="23"/>
  <c r="F12" i="23"/>
  <c r="H14" i="23"/>
  <c r="G21" i="23"/>
  <c r="C29" i="23"/>
  <c r="H5" i="23"/>
  <c r="H9" i="23"/>
  <c r="C16" i="23"/>
  <c r="E18" i="23"/>
  <c r="G28" i="23"/>
  <c r="C6" i="23"/>
  <c r="E8" i="23"/>
  <c r="C14" i="23"/>
  <c r="E16" i="23"/>
  <c r="C22" i="23"/>
  <c r="E24" i="23"/>
  <c r="C5" i="23"/>
  <c r="E7" i="23"/>
  <c r="G17" i="23"/>
  <c r="F24" i="23"/>
  <c r="H26" i="23"/>
  <c r="F7" i="23"/>
  <c r="C24" i="23"/>
  <c r="E26" i="23"/>
  <c r="H4" i="23"/>
  <c r="G7" i="23"/>
  <c r="F10" i="23"/>
  <c r="H12" i="23"/>
  <c r="G15" i="23"/>
  <c r="F18" i="23"/>
  <c r="H20" i="23"/>
  <c r="G23" i="23"/>
  <c r="F26" i="23"/>
  <c r="H28" i="23"/>
  <c r="C13" i="23"/>
  <c r="E15" i="23"/>
  <c r="C4" i="23"/>
  <c r="E6" i="23"/>
  <c r="E10" i="23"/>
  <c r="G16" i="23"/>
  <c r="F19" i="23"/>
  <c r="H21" i="23"/>
  <c r="G6" i="23"/>
  <c r="F9" i="23"/>
  <c r="G14" i="23"/>
  <c r="F17" i="23"/>
  <c r="F25" i="23"/>
  <c r="F28" i="5" l="1"/>
  <c r="D28" i="4" l="1"/>
  <c r="B27" i="21" l="1"/>
  <c r="B23" i="21"/>
  <c r="B19" i="21"/>
  <c r="B15" i="21"/>
  <c r="B11" i="21"/>
  <c r="B7" i="21"/>
  <c r="B26" i="21"/>
  <c r="B22" i="21"/>
  <c r="B18" i="21"/>
  <c r="B14" i="21"/>
  <c r="B10" i="21"/>
  <c r="B6" i="21"/>
  <c r="B29" i="21"/>
  <c r="B25" i="21"/>
  <c r="B21" i="21"/>
  <c r="B17" i="21"/>
  <c r="B13" i="21"/>
  <c r="B9" i="21"/>
  <c r="B5" i="21"/>
  <c r="B28" i="21"/>
  <c r="B24" i="21"/>
  <c r="B20" i="21"/>
  <c r="B16" i="21"/>
  <c r="B12" i="21"/>
  <c r="B8" i="21"/>
  <c r="B4" i="21"/>
  <c r="B27" i="20"/>
  <c r="B23" i="20"/>
  <c r="B19" i="20"/>
  <c r="B15" i="20"/>
  <c r="B11" i="20"/>
  <c r="B7" i="20"/>
  <c r="B26" i="20"/>
  <c r="B22" i="20"/>
  <c r="B18" i="20"/>
  <c r="B14" i="20"/>
  <c r="B10" i="20"/>
  <c r="B6" i="20"/>
  <c r="B29" i="20"/>
  <c r="B25" i="20"/>
  <c r="B21" i="20"/>
  <c r="B17" i="20"/>
  <c r="B13" i="20"/>
  <c r="B9" i="20"/>
  <c r="B5" i="20"/>
  <c r="B28" i="20"/>
  <c r="B24" i="20"/>
  <c r="B20" i="20"/>
  <c r="B16" i="20"/>
  <c r="B12" i="20"/>
  <c r="B8" i="20"/>
  <c r="B4" i="20"/>
  <c r="D29" i="21" l="1"/>
  <c r="D25" i="21"/>
  <c r="D21" i="21"/>
  <c r="D17" i="21"/>
  <c r="D13" i="21"/>
  <c r="D9" i="21"/>
  <c r="D5" i="21"/>
  <c r="D28" i="21"/>
  <c r="D20" i="21"/>
  <c r="D12" i="21"/>
  <c r="D26" i="21"/>
  <c r="D22" i="21"/>
  <c r="D18" i="21"/>
  <c r="D14" i="21"/>
  <c r="D10" i="21"/>
  <c r="D6" i="21"/>
  <c r="D24" i="21"/>
  <c r="D16" i="21"/>
  <c r="D8" i="21"/>
  <c r="D4" i="21"/>
  <c r="D15" i="21"/>
  <c r="D27" i="21"/>
  <c r="D11" i="21"/>
  <c r="D23" i="21"/>
  <c r="D7" i="21"/>
  <c r="D19" i="21"/>
  <c r="D28" i="20"/>
  <c r="D24" i="20"/>
  <c r="D20" i="20"/>
  <c r="D16" i="20"/>
  <c r="D12" i="20"/>
  <c r="D8" i="20"/>
  <c r="D4" i="20"/>
  <c r="D27" i="20"/>
  <c r="D19" i="20"/>
  <c r="D11" i="20"/>
  <c r="D29" i="20"/>
  <c r="D25" i="20"/>
  <c r="D21" i="20"/>
  <c r="D17" i="20"/>
  <c r="D13" i="20"/>
  <c r="D9" i="20"/>
  <c r="D5" i="20"/>
  <c r="D23" i="20"/>
  <c r="D15" i="20"/>
  <c r="D7" i="20"/>
  <c r="D26" i="20"/>
  <c r="D10" i="20"/>
  <c r="D22" i="20"/>
  <c r="D6" i="20"/>
  <c r="D18" i="20"/>
  <c r="G29" i="20"/>
  <c r="D14" i="20"/>
  <c r="E5" i="21"/>
  <c r="E20" i="21"/>
  <c r="C11" i="21"/>
  <c r="E13" i="21"/>
  <c r="C23" i="21"/>
  <c r="G27" i="21"/>
  <c r="G14" i="21"/>
  <c r="G26" i="21"/>
  <c r="C9" i="21"/>
  <c r="E11" i="21"/>
  <c r="C17" i="21"/>
  <c r="E19" i="21"/>
  <c r="C25" i="21"/>
  <c r="E27" i="21"/>
  <c r="C19" i="21"/>
  <c r="E21" i="21"/>
  <c r="C18" i="21"/>
  <c r="C4" i="21"/>
  <c r="E6" i="21"/>
  <c r="C12" i="21"/>
  <c r="E14" i="21"/>
  <c r="C20" i="21"/>
  <c r="E22" i="21"/>
  <c r="C28" i="21"/>
  <c r="E4" i="21"/>
  <c r="G11" i="21"/>
  <c r="G23" i="21"/>
  <c r="E29" i="21"/>
  <c r="C22" i="21"/>
  <c r="E24" i="21"/>
  <c r="G9" i="21"/>
  <c r="G17" i="21"/>
  <c r="G25" i="21"/>
  <c r="G19" i="21"/>
  <c r="C27" i="21"/>
  <c r="C10" i="21"/>
  <c r="E12" i="21"/>
  <c r="G18" i="21"/>
  <c r="G4" i="21"/>
  <c r="G12" i="21"/>
  <c r="G20" i="21"/>
  <c r="G28" i="21"/>
  <c r="C15" i="21"/>
  <c r="E17" i="21"/>
  <c r="E25" i="21"/>
  <c r="C6" i="21"/>
  <c r="E8" i="21"/>
  <c r="G22" i="21"/>
  <c r="C5" i="21"/>
  <c r="E7" i="21"/>
  <c r="C13" i="21"/>
  <c r="E15" i="21"/>
  <c r="C21" i="21"/>
  <c r="E23" i="21"/>
  <c r="C29" i="21"/>
  <c r="C7" i="21"/>
  <c r="E9" i="21"/>
  <c r="G10" i="21"/>
  <c r="C8" i="21"/>
  <c r="E10" i="21"/>
  <c r="C16" i="21"/>
  <c r="E18" i="21"/>
  <c r="C24" i="21"/>
  <c r="E26" i="21"/>
  <c r="G15" i="21"/>
  <c r="G6" i="21"/>
  <c r="C14" i="21"/>
  <c r="E16" i="21"/>
  <c r="C26" i="21"/>
  <c r="E28" i="21"/>
  <c r="G5" i="21"/>
  <c r="G13" i="21"/>
  <c r="G21" i="21"/>
  <c r="G29" i="21"/>
  <c r="G7" i="21"/>
  <c r="G8" i="21"/>
  <c r="G16" i="21"/>
  <c r="G24" i="21"/>
  <c r="C7" i="20"/>
  <c r="E9" i="20"/>
  <c r="C15" i="20"/>
  <c r="E17" i="20"/>
  <c r="C23" i="20"/>
  <c r="E25" i="20"/>
  <c r="G10" i="20"/>
  <c r="G18" i="20"/>
  <c r="G26" i="20"/>
  <c r="C9" i="20"/>
  <c r="E11" i="20"/>
  <c r="C17" i="20"/>
  <c r="E19" i="20"/>
  <c r="C25" i="20"/>
  <c r="E27" i="20"/>
  <c r="C4" i="20"/>
  <c r="E6" i="20"/>
  <c r="C12" i="20"/>
  <c r="E14" i="20"/>
  <c r="C20" i="20"/>
  <c r="E22" i="20"/>
  <c r="C28" i="20"/>
  <c r="G7" i="20"/>
  <c r="G15" i="20"/>
  <c r="G23" i="20"/>
  <c r="C6" i="20"/>
  <c r="E8" i="20"/>
  <c r="C14" i="20"/>
  <c r="E16" i="20"/>
  <c r="C22" i="20"/>
  <c r="E24" i="20"/>
  <c r="G9" i="20"/>
  <c r="G17" i="20"/>
  <c r="G25" i="20"/>
  <c r="G4" i="20"/>
  <c r="G12" i="20"/>
  <c r="G20" i="20"/>
  <c r="G28" i="20"/>
  <c r="E5" i="20"/>
  <c r="C11" i="20"/>
  <c r="E13" i="20"/>
  <c r="C19" i="20"/>
  <c r="E21" i="20"/>
  <c r="C27" i="20"/>
  <c r="E29" i="20"/>
  <c r="G6" i="20"/>
  <c r="G14" i="20"/>
  <c r="G22" i="20"/>
  <c r="C5" i="20"/>
  <c r="E7" i="20"/>
  <c r="C13" i="20"/>
  <c r="E15" i="20"/>
  <c r="C21" i="20"/>
  <c r="E23" i="20"/>
  <c r="C29" i="20"/>
  <c r="C8" i="20"/>
  <c r="E10" i="20"/>
  <c r="C16" i="20"/>
  <c r="E18" i="20"/>
  <c r="C24" i="20"/>
  <c r="E26" i="20"/>
  <c r="G11" i="20"/>
  <c r="G19" i="20"/>
  <c r="G27" i="20"/>
  <c r="E4" i="20"/>
  <c r="C10" i="20"/>
  <c r="E12" i="20"/>
  <c r="C18" i="20"/>
  <c r="E20" i="20"/>
  <c r="C26" i="20"/>
  <c r="E28" i="20"/>
  <c r="G5" i="20"/>
  <c r="G13" i="20"/>
  <c r="G21" i="20"/>
  <c r="G8" i="20"/>
  <c r="G16" i="20"/>
  <c r="G24" i="20"/>
  <c r="K23" i="2"/>
  <c r="K10" i="2"/>
  <c r="J2" i="2"/>
  <c r="J2" i="10"/>
  <c r="H24" i="14" l="1"/>
  <c r="H5" i="14"/>
  <c r="F14" i="14"/>
  <c r="F24" i="14"/>
  <c r="F5" i="14"/>
  <c r="G27" i="6" l="1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3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G27" i="5"/>
  <c r="G26" i="5"/>
  <c r="H28" i="21" s="1"/>
  <c r="G25" i="5"/>
  <c r="G24" i="5"/>
  <c r="G23" i="5"/>
  <c r="G22" i="5"/>
  <c r="G21" i="5"/>
  <c r="G20" i="5"/>
  <c r="G19" i="5"/>
  <c r="H27" i="21" s="1"/>
  <c r="G18" i="5"/>
  <c r="G17" i="5"/>
  <c r="G16" i="5"/>
  <c r="G15" i="5"/>
  <c r="G14" i="5"/>
  <c r="G13" i="5"/>
  <c r="G12" i="5"/>
  <c r="G11" i="5"/>
  <c r="G10" i="5"/>
  <c r="G9" i="5"/>
  <c r="G8" i="5"/>
  <c r="H9" i="21" s="1"/>
  <c r="G7" i="5"/>
  <c r="G6" i="5"/>
  <c r="G5" i="5"/>
  <c r="G4" i="5"/>
  <c r="H24" i="21" s="1"/>
  <c r="G3" i="5"/>
  <c r="H5" i="21" s="1"/>
  <c r="E27" i="5"/>
  <c r="E26" i="5"/>
  <c r="F28" i="21" s="1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F9" i="21" s="1"/>
  <c r="E7" i="5"/>
  <c r="F25" i="21" s="1"/>
  <c r="E6" i="5"/>
  <c r="E5" i="5"/>
  <c r="E4" i="5"/>
  <c r="F24" i="21" s="1"/>
  <c r="E3" i="5"/>
  <c r="F5" i="21" s="1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H6" i="20" s="1"/>
  <c r="F6" i="20"/>
  <c r="G22" i="3"/>
  <c r="G27" i="3"/>
  <c r="G26" i="3"/>
  <c r="H28" i="19" s="1"/>
  <c r="G25" i="3"/>
  <c r="G24" i="3"/>
  <c r="G23" i="3"/>
  <c r="H7" i="19" s="1"/>
  <c r="G21" i="3"/>
  <c r="G20" i="3"/>
  <c r="G19" i="3"/>
  <c r="G18" i="3"/>
  <c r="G17" i="3"/>
  <c r="H23" i="19" s="1"/>
  <c r="G16" i="3"/>
  <c r="G15" i="3"/>
  <c r="G14" i="3"/>
  <c r="G13" i="3"/>
  <c r="G12" i="3"/>
  <c r="G11" i="3"/>
  <c r="H19" i="19" s="1"/>
  <c r="G10" i="3"/>
  <c r="G9" i="3"/>
  <c r="G8" i="3"/>
  <c r="G7" i="3"/>
  <c r="G6" i="3"/>
  <c r="G5" i="3"/>
  <c r="G4" i="3"/>
  <c r="H24" i="19" s="1"/>
  <c r="G3" i="3"/>
  <c r="E26" i="3"/>
  <c r="F28" i="19" s="1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F24" i="19" s="1"/>
  <c r="E3" i="3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9" i="2"/>
  <c r="G8" i="2"/>
  <c r="G7" i="2"/>
  <c r="G6" i="2"/>
  <c r="G5" i="2"/>
  <c r="G4" i="2"/>
  <c r="G3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H6" i="14"/>
  <c r="H28" i="14"/>
  <c r="H16" i="14"/>
  <c r="H4" i="14"/>
  <c r="H7" i="14"/>
  <c r="F6" i="14"/>
  <c r="H20" i="14"/>
  <c r="H12" i="14"/>
  <c r="H13" i="14"/>
  <c r="H27" i="14"/>
  <c r="H17" i="14"/>
  <c r="H23" i="14"/>
  <c r="H22" i="14"/>
  <c r="H19" i="14"/>
  <c r="H15" i="14"/>
  <c r="H18" i="14"/>
  <c r="H11" i="14"/>
  <c r="H21" i="14"/>
  <c r="H9" i="14"/>
  <c r="H10" i="14"/>
  <c r="H8" i="14"/>
  <c r="H25" i="14"/>
  <c r="H26" i="14"/>
  <c r="H14" i="14"/>
  <c r="F28" i="14"/>
  <c r="F16" i="14"/>
  <c r="F4" i="14"/>
  <c r="F7" i="14"/>
  <c r="F20" i="14"/>
  <c r="F12" i="14"/>
  <c r="F13" i="14"/>
  <c r="F27" i="14"/>
  <c r="F17" i="14"/>
  <c r="F23" i="14"/>
  <c r="F22" i="14"/>
  <c r="F19" i="14"/>
  <c r="F15" i="14"/>
  <c r="F18" i="14"/>
  <c r="F21" i="14"/>
  <c r="F9" i="14"/>
  <c r="F10" i="14"/>
  <c r="F8" i="14"/>
  <c r="F25" i="14"/>
  <c r="F26" i="14"/>
  <c r="F27" i="21" l="1"/>
  <c r="E28" i="3"/>
  <c r="H27" i="20"/>
  <c r="H26" i="21"/>
  <c r="G28" i="6"/>
  <c r="H25" i="21"/>
  <c r="F26" i="21"/>
  <c r="F25" i="20"/>
  <c r="G28" i="3"/>
  <c r="F23" i="19"/>
  <c r="H7" i="21"/>
  <c r="H25" i="19"/>
  <c r="H27" i="19"/>
  <c r="F27" i="19"/>
  <c r="F12" i="19"/>
  <c r="H8" i="19"/>
  <c r="F7" i="19"/>
  <c r="F9" i="19"/>
  <c r="F25" i="19"/>
  <c r="F19" i="19"/>
  <c r="F8" i="19"/>
  <c r="H9" i="19"/>
  <c r="F7" i="21"/>
  <c r="F6" i="21"/>
  <c r="H8" i="21"/>
  <c r="H6" i="21"/>
  <c r="H12" i="19"/>
  <c r="F8" i="21"/>
  <c r="F18" i="19"/>
  <c r="H18" i="19"/>
  <c r="F15" i="19"/>
  <c r="H11" i="19"/>
  <c r="F11" i="19"/>
  <c r="H15" i="19"/>
  <c r="F13" i="20"/>
  <c r="F10" i="21"/>
  <c r="H10" i="21"/>
  <c r="F11" i="21"/>
  <c r="H11" i="21"/>
  <c r="H20" i="19"/>
  <c r="E28" i="6"/>
  <c r="F16" i="20"/>
  <c r="F27" i="20"/>
  <c r="F26" i="20"/>
  <c r="H13" i="20"/>
  <c r="H26" i="20"/>
  <c r="H25" i="20"/>
  <c r="H5" i="20"/>
  <c r="F6" i="19"/>
  <c r="F26" i="19"/>
  <c r="F20" i="19"/>
  <c r="H21" i="19"/>
  <c r="H26" i="19"/>
  <c r="F17" i="20"/>
  <c r="H21" i="18"/>
  <c r="F12" i="18"/>
  <c r="F16" i="18"/>
  <c r="F18" i="18"/>
  <c r="F5" i="18"/>
  <c r="H23" i="18"/>
  <c r="H6" i="18"/>
  <c r="F20" i="18"/>
  <c r="F23" i="18"/>
  <c r="F6" i="18"/>
  <c r="H22" i="18"/>
  <c r="H15" i="18"/>
  <c r="H24" i="18"/>
  <c r="F10" i="20"/>
  <c r="F19" i="18"/>
  <c r="H12" i="18"/>
  <c r="H16" i="18"/>
  <c r="H18" i="18"/>
  <c r="H5" i="18"/>
  <c r="F22" i="18"/>
  <c r="F15" i="18"/>
  <c r="F24" i="18"/>
  <c r="H20" i="18"/>
  <c r="H14" i="18"/>
  <c r="H19" i="18"/>
  <c r="F14" i="18"/>
  <c r="F21" i="18"/>
  <c r="H21" i="21"/>
  <c r="H17" i="21"/>
  <c r="F13" i="18"/>
  <c r="H13" i="18"/>
  <c r="F8" i="20"/>
  <c r="H7" i="20"/>
  <c r="H17" i="19"/>
  <c r="F16" i="19"/>
  <c r="H16" i="21"/>
  <c r="F17" i="21"/>
  <c r="F23" i="21"/>
  <c r="H12" i="21"/>
  <c r="F16" i="21"/>
  <c r="F7" i="20"/>
  <c r="H16" i="19"/>
  <c r="H5" i="19"/>
  <c r="F17" i="19"/>
  <c r="H7" i="18"/>
  <c r="F7" i="18"/>
  <c r="F21" i="19"/>
  <c r="F10" i="18"/>
  <c r="H14" i="20"/>
  <c r="F15" i="20"/>
  <c r="H23" i="21"/>
  <c r="H11" i="20"/>
  <c r="F24" i="20"/>
  <c r="H21" i="20"/>
  <c r="H20" i="20"/>
  <c r="H16" i="20"/>
  <c r="F10" i="19"/>
  <c r="H22" i="19"/>
  <c r="H10" i="19"/>
  <c r="F22" i="19"/>
  <c r="H10" i="18"/>
  <c r="F11" i="18"/>
  <c r="H11" i="18"/>
  <c r="F9" i="18"/>
  <c r="H9" i="18"/>
  <c r="H14" i="21"/>
  <c r="F15" i="21"/>
  <c r="H15" i="20"/>
  <c r="F14" i="20"/>
  <c r="F14" i="21"/>
  <c r="F20" i="21"/>
  <c r="H15" i="21"/>
  <c r="H20" i="21"/>
  <c r="H12" i="20"/>
  <c r="F12" i="20"/>
  <c r="H13" i="19"/>
  <c r="F17" i="18"/>
  <c r="H8" i="18"/>
  <c r="F8" i="18"/>
  <c r="H17" i="18"/>
  <c r="F22" i="21"/>
  <c r="F13" i="21"/>
  <c r="F18" i="21"/>
  <c r="F22" i="20"/>
  <c r="H9" i="20"/>
  <c r="H18" i="20"/>
  <c r="H23" i="20"/>
  <c r="F14" i="19"/>
  <c r="F5" i="19"/>
  <c r="H6" i="19"/>
  <c r="F13" i="19"/>
  <c r="H14" i="19"/>
  <c r="F23" i="20"/>
  <c r="F9" i="20"/>
  <c r="F18" i="20"/>
  <c r="F19" i="20"/>
  <c r="H8" i="20"/>
  <c r="H17" i="20"/>
  <c r="H24" i="20"/>
  <c r="H10" i="20"/>
  <c r="H19" i="20"/>
  <c r="F21" i="20"/>
  <c r="F11" i="20"/>
  <c r="F20" i="20"/>
  <c r="H22" i="20"/>
  <c r="H19" i="21"/>
  <c r="H18" i="21"/>
  <c r="F19" i="21"/>
  <c r="F12" i="21"/>
  <c r="F21" i="21"/>
  <c r="H22" i="21"/>
  <c r="H13" i="21"/>
  <c r="G24" i="2"/>
  <c r="E24" i="2"/>
  <c r="F28" i="20"/>
  <c r="E28" i="5"/>
  <c r="G28" i="5"/>
  <c r="G28" i="4"/>
  <c r="H28" i="20" s="1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4" i="10"/>
  <c r="K3" i="10"/>
  <c r="F5" i="20" l="1"/>
  <c r="F4" i="21"/>
  <c r="F29" i="21"/>
  <c r="H4" i="21"/>
  <c r="H29" i="21"/>
  <c r="H4" i="19"/>
  <c r="H29" i="19"/>
  <c r="F4" i="19"/>
  <c r="F29" i="19"/>
  <c r="H4" i="18"/>
  <c r="H25" i="18"/>
  <c r="F4" i="18"/>
  <c r="F25" i="18"/>
  <c r="F4" i="20"/>
  <c r="F29" i="20"/>
  <c r="H4" i="20"/>
  <c r="H29" i="20"/>
  <c r="L4" i="10"/>
  <c r="L8" i="10"/>
  <c r="L12" i="10"/>
  <c r="L16" i="10"/>
  <c r="L20" i="10"/>
  <c r="L24" i="10"/>
  <c r="L5" i="10"/>
  <c r="L9" i="10"/>
  <c r="L13" i="10"/>
  <c r="L17" i="10"/>
  <c r="L21" i="10"/>
  <c r="L25" i="10"/>
  <c r="L6" i="10"/>
  <c r="L10" i="10"/>
  <c r="L14" i="10"/>
  <c r="L18" i="10"/>
  <c r="L22" i="10"/>
  <c r="L26" i="10"/>
  <c r="L3" i="10"/>
  <c r="L7" i="10"/>
  <c r="L11" i="10"/>
  <c r="L15" i="10"/>
  <c r="L19" i="10"/>
  <c r="L23" i="10"/>
  <c r="L27" i="10"/>
  <c r="K28" i="10"/>
  <c r="L28" i="10" l="1"/>
  <c r="B27" i="22" l="1"/>
  <c r="B23" i="22"/>
  <c r="B19" i="22"/>
  <c r="B15" i="22"/>
  <c r="B11" i="22"/>
  <c r="B7" i="22"/>
  <c r="B26" i="22"/>
  <c r="B22" i="22"/>
  <c r="B18" i="22"/>
  <c r="B14" i="22"/>
  <c r="B10" i="22"/>
  <c r="B6" i="22"/>
  <c r="B29" i="22"/>
  <c r="B25" i="22"/>
  <c r="B21" i="22"/>
  <c r="B17" i="22"/>
  <c r="B13" i="22"/>
  <c r="B9" i="22"/>
  <c r="B5" i="22"/>
  <c r="B28" i="22"/>
  <c r="B24" i="22"/>
  <c r="B20" i="22"/>
  <c r="B16" i="22"/>
  <c r="B12" i="22"/>
  <c r="B8" i="22"/>
  <c r="B4" i="22"/>
  <c r="K3" i="2"/>
  <c r="D27" i="22" l="1"/>
  <c r="D23" i="22"/>
  <c r="D19" i="22"/>
  <c r="D15" i="22"/>
  <c r="D11" i="22"/>
  <c r="D7" i="22"/>
  <c r="D26" i="22"/>
  <c r="D18" i="22"/>
  <c r="D14" i="22"/>
  <c r="D10" i="22"/>
  <c r="D29" i="22"/>
  <c r="D25" i="22"/>
  <c r="D28" i="22"/>
  <c r="D24" i="22"/>
  <c r="D20" i="22"/>
  <c r="D16" i="22"/>
  <c r="D12" i="22"/>
  <c r="D8" i="22"/>
  <c r="D4" i="22"/>
  <c r="D22" i="22"/>
  <c r="D6" i="22"/>
  <c r="D21" i="22"/>
  <c r="D5" i="22"/>
  <c r="D17" i="22"/>
  <c r="D13" i="22"/>
  <c r="D9" i="22"/>
  <c r="E24" i="22"/>
  <c r="F6" i="22"/>
  <c r="H8" i="22"/>
  <c r="C23" i="22"/>
  <c r="E25" i="22"/>
  <c r="E29" i="22"/>
  <c r="G6" i="22"/>
  <c r="F9" i="22"/>
  <c r="G18" i="22"/>
  <c r="F25" i="22"/>
  <c r="H27" i="22"/>
  <c r="C5" i="22"/>
  <c r="E7" i="22"/>
  <c r="C13" i="22"/>
  <c r="E15" i="22"/>
  <c r="C21" i="22"/>
  <c r="E23" i="22"/>
  <c r="C29" i="22"/>
  <c r="G11" i="22"/>
  <c r="G15" i="22"/>
  <c r="F18" i="22"/>
  <c r="H20" i="22"/>
  <c r="F21" i="22"/>
  <c r="H23" i="22"/>
  <c r="H5" i="22"/>
  <c r="G8" i="22"/>
  <c r="F11" i="22"/>
  <c r="H13" i="22"/>
  <c r="G16" i="22"/>
  <c r="F19" i="22"/>
  <c r="H21" i="22"/>
  <c r="G24" i="22"/>
  <c r="F27" i="22"/>
  <c r="H29" i="22"/>
  <c r="C7" i="22"/>
  <c r="E9" i="22"/>
  <c r="G23" i="22"/>
  <c r="F26" i="22"/>
  <c r="E4" i="22"/>
  <c r="G10" i="22"/>
  <c r="C26" i="22"/>
  <c r="E28" i="22"/>
  <c r="G5" i="22"/>
  <c r="F8" i="22"/>
  <c r="H10" i="22"/>
  <c r="G13" i="22"/>
  <c r="F16" i="22"/>
  <c r="H18" i="22"/>
  <c r="G21" i="22"/>
  <c r="F24" i="22"/>
  <c r="H26" i="22"/>
  <c r="G29" i="22"/>
  <c r="E13" i="22"/>
  <c r="C19" i="22"/>
  <c r="E21" i="22"/>
  <c r="F13" i="22"/>
  <c r="H15" i="22"/>
  <c r="C22" i="22"/>
  <c r="C4" i="22"/>
  <c r="E6" i="22"/>
  <c r="C12" i="22"/>
  <c r="E14" i="22"/>
  <c r="C20" i="22"/>
  <c r="E22" i="22"/>
  <c r="C28" i="22"/>
  <c r="H4" i="22"/>
  <c r="H28" i="22"/>
  <c r="G7" i="22"/>
  <c r="F10" i="22"/>
  <c r="G27" i="22"/>
  <c r="F5" i="22"/>
  <c r="H7" i="22"/>
  <c r="H11" i="22"/>
  <c r="H19" i="22"/>
  <c r="G26" i="22"/>
  <c r="F29" i="22"/>
  <c r="C9" i="22"/>
  <c r="E11" i="22"/>
  <c r="C17" i="22"/>
  <c r="E19" i="22"/>
  <c r="C25" i="22"/>
  <c r="E27" i="22"/>
  <c r="E5" i="22"/>
  <c r="F14" i="22"/>
  <c r="H16" i="22"/>
  <c r="G19" i="22"/>
  <c r="C27" i="22"/>
  <c r="C14" i="22"/>
  <c r="E16" i="22"/>
  <c r="G22" i="22"/>
  <c r="G4" i="22"/>
  <c r="F7" i="22"/>
  <c r="H9" i="22"/>
  <c r="G12" i="22"/>
  <c r="F15" i="22"/>
  <c r="H17" i="22"/>
  <c r="G20" i="22"/>
  <c r="F23" i="22"/>
  <c r="H25" i="22"/>
  <c r="G28" i="22"/>
  <c r="E12" i="22"/>
  <c r="H12" i="22"/>
  <c r="F22" i="22"/>
  <c r="H24" i="22"/>
  <c r="C6" i="22"/>
  <c r="E8" i="22"/>
  <c r="C18" i="22"/>
  <c r="E20" i="22"/>
  <c r="F4" i="22"/>
  <c r="H6" i="22"/>
  <c r="G9" i="22"/>
  <c r="F12" i="22"/>
  <c r="H14" i="22"/>
  <c r="G17" i="22"/>
  <c r="F20" i="22"/>
  <c r="H22" i="22"/>
  <c r="G25" i="22"/>
  <c r="F28" i="22"/>
  <c r="C11" i="22"/>
  <c r="C15" i="22"/>
  <c r="E17" i="22"/>
  <c r="C10" i="22"/>
  <c r="G14" i="22"/>
  <c r="F17" i="22"/>
  <c r="C8" i="22"/>
  <c r="E10" i="22"/>
  <c r="C16" i="22"/>
  <c r="E18" i="22"/>
  <c r="C24" i="22"/>
  <c r="E26" i="22"/>
  <c r="K2" i="2"/>
  <c r="L3" i="2" l="1"/>
  <c r="K22" i="2" l="1"/>
  <c r="K21" i="2"/>
  <c r="K20" i="2"/>
  <c r="K19" i="2"/>
  <c r="K18" i="2"/>
  <c r="K17" i="2"/>
  <c r="K16" i="2"/>
  <c r="K15" i="2"/>
  <c r="K14" i="2"/>
  <c r="K13" i="2"/>
  <c r="K12" i="2"/>
  <c r="K11" i="2"/>
  <c r="K9" i="2"/>
  <c r="K8" i="2"/>
  <c r="K7" i="2"/>
  <c r="K6" i="2"/>
  <c r="K5" i="2"/>
  <c r="K4" i="2"/>
  <c r="K28" i="2" l="1"/>
  <c r="K30" i="2" s="1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28" i="2" l="1"/>
</calcChain>
</file>

<file path=xl/sharedStrings.xml><?xml version="1.0" encoding="utf-8"?>
<sst xmlns="http://schemas.openxmlformats.org/spreadsheetml/2006/main" count="441" uniqueCount="103">
  <si>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</si>
  <si>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</si>
  <si>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</si>
  <si>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</si>
  <si>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</si>
  <si>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</si>
  <si>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</si>
  <si>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</si>
  <si>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</si>
  <si>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</si>
  <si>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</si>
  <si>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</si>
  <si>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</si>
  <si>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</si>
  <si>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</si>
  <si>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</si>
  <si>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</si>
  <si>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</si>
  <si>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</si>
  <si>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</si>
  <si>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 xml:space="preserve">tarnobrzeski </t>
  </si>
  <si>
    <t>Krosno</t>
  </si>
  <si>
    <t>Przemyśl</t>
  </si>
  <si>
    <t>Rzeszów</t>
  </si>
  <si>
    <t>Tarnobrzeg</t>
  </si>
  <si>
    <t>województwo</t>
  </si>
  <si>
    <t>wzrost/spadek do analogicznego okresu ubr.</t>
  </si>
  <si>
    <t>powiaty</t>
  </si>
  <si>
    <t>wzrost/spadek do poprzedniego  miesiąca</t>
  </si>
  <si>
    <t>---</t>
  </si>
  <si>
    <t>Oferty pracy (wolne miejsca pracy i miejsca aktywizacji zawodowej) wg powiatów</t>
  </si>
  <si>
    <t>Liczba bezrobotnych zamieszkłaych na wsi w województwie podkarpackim</t>
  </si>
  <si>
    <t>Liczba bezrobotnych w województwie podkarpackim wg powiatów</t>
  </si>
  <si>
    <t>wzrost/spadek do miesiąca poprzedniego</t>
  </si>
  <si>
    <t>w tym: kobiety</t>
  </si>
  <si>
    <t>Liczba bezrobotnych powyżej 12 miesięcy* - będących w szczególnej sytuacji na rynku pracy</t>
  </si>
  <si>
    <t>Bezrobotne kobiety zarejestrowane w PUP w woj. podkarpackim</t>
  </si>
  <si>
    <t>Liczba bezrobotnych do 30 roku życia - w szczególnej sytuacji na rynku pracy</t>
  </si>
  <si>
    <t>Liczba bezrobotnych powyżej 50 roku życia - w szczególnej sytuacji na rynku pracy</t>
  </si>
  <si>
    <t>Bezrobotne kobiety zarejestrowane w PUP c.d.</t>
  </si>
  <si>
    <t>Liczba bezrobotnych zamieszkłaych na wsi c.d.</t>
  </si>
  <si>
    <t>Oferty pracy subsydiowanej (subsydiowane wolne miejsca pracy i miejsca aktywizacji zawodowej) wg powiatów</t>
  </si>
  <si>
    <t>lokata</t>
  </si>
  <si>
    <t>Liczba bezrobotnych powyżej 12 miesięcy* - w szczególnej sytuacji na rynku pracy</t>
  </si>
  <si>
    <t>Oferty pracy subsydiowanej wg powiatów</t>
  </si>
  <si>
    <t>(subsydiowane wolne miejsca pracy i miejsca aktywizacji zawodowej)</t>
  </si>
  <si>
    <t>w proc.</t>
  </si>
  <si>
    <t>proc. w stos. do ogółem bezrobotnych</t>
  </si>
  <si>
    <t>Liczba bezrobotnych do 30 roku życia - tj. będących w szczególnej sytuacji na rynku pracy</t>
  </si>
  <si>
    <r>
      <t xml:space="preserve">* </t>
    </r>
    <r>
      <rPr>
        <b/>
        <sz val="11"/>
        <color theme="1"/>
        <rFont val="Arial"/>
        <family val="2"/>
        <charset val="238"/>
      </rPr>
      <t>Bezrobotni długotrwale</t>
    </r>
    <r>
      <rPr>
        <sz val="11"/>
        <color theme="1"/>
        <rFont val="Arial"/>
        <family val="2"/>
        <charset val="238"/>
      </rPr>
      <t xml:space="preserve"> - w okresie ostatnich dwóch lat. </t>
    </r>
  </si>
  <si>
    <t>Definicja zawarta w ustawie o promocji zatrudnienia i instytucjach rynku pracy.</t>
  </si>
  <si>
    <t>X</t>
  </si>
  <si>
    <t>Y</t>
  </si>
  <si>
    <t>stan na 31-12-2022</t>
  </si>
  <si>
    <t>lokata X</t>
  </si>
  <si>
    <t>lokata Y</t>
  </si>
  <si>
    <t>tarnobrzeski</t>
  </si>
  <si>
    <t>Pokdarpacie</t>
  </si>
  <si>
    <t>Podjęcia pracy niesubsydiowanej</t>
  </si>
  <si>
    <t>Podjęcia pracy subsydiowanej</t>
  </si>
  <si>
    <t>Osoby skierowane na staż</t>
  </si>
  <si>
    <t>Suma różnic [x]</t>
  </si>
  <si>
    <t>Korelacja podjęć pracy z poziomem bezrobocia, który jest warunkowany przez zmiany w bilansie bezrobotnych [zawarte w stanie na koniec okresu]</t>
  </si>
  <si>
    <t>wzrost/spadek [Y]</t>
  </si>
  <si>
    <t>różnica</t>
  </si>
  <si>
    <t>róznica</t>
  </si>
  <si>
    <t>Spadki i wzrosty - liczba bezrobotnych wg powiatów [podkarpackie]</t>
  </si>
  <si>
    <t>Liczba bezrobotnych od najwyższej</t>
  </si>
  <si>
    <t>wzrost/spadek</t>
  </si>
  <si>
    <t>Zmiana stanu na koniec okresu [liczba bezrobotnych]</t>
  </si>
  <si>
    <t>Oferty pracy ogółem - stan na koniec m-ca (wolne miejsca pracy i miejsca aktywizacji zawodowej) wg powiatów</t>
  </si>
  <si>
    <t>Oferty pracy ogółem - stan na koniec m-ca</t>
  </si>
  <si>
    <t>(wolne miejsca pracy i miejsca aktywizacji zawodowej) wg powiatów</t>
  </si>
  <si>
    <t>stan na 31-12-2023</t>
  </si>
  <si>
    <t>liczba bezrobotnych kobiet stan na 31-03-'24 r.</t>
  </si>
  <si>
    <t>liczba ofert w 03-'24 r.</t>
  </si>
  <si>
    <t>liczba bezrobotnych ogółem stan na 30-04-'23 r.</t>
  </si>
  <si>
    <t>liczba bezrobotnych ogółem stan na 31-03-'24 r.</t>
  </si>
  <si>
    <r>
      <t>liczba bezrobotnych ogółem stan na</t>
    </r>
    <r>
      <rPr>
        <sz val="12"/>
        <color theme="1"/>
        <rFont val="Arial"/>
        <family val="2"/>
        <charset val="238"/>
      </rPr>
      <t xml:space="preserve"> 30-04-'24 r.</t>
    </r>
  </si>
  <si>
    <t>liczba bezrobotnych kobiet stan na 30-04-'23 r.</t>
  </si>
  <si>
    <t>liczba bezrobotnych kobiet stan na 30-04-'24 r.</t>
  </si>
  <si>
    <r>
      <t>liczba bezrobotnych zam. na wsi stan na 30</t>
    </r>
    <r>
      <rPr>
        <sz val="12"/>
        <color theme="1"/>
        <rFont val="Arial"/>
        <family val="2"/>
        <charset val="238"/>
      </rPr>
      <t>-04-'23 r.</t>
    </r>
  </si>
  <si>
    <t>liczba bezrobotnych zam. na wsi stan na 31-03-'24 r.</t>
  </si>
  <si>
    <r>
      <t>liczba bezrobotnych zam. na wsi stan na</t>
    </r>
    <r>
      <rPr>
        <sz val="12"/>
        <color theme="1"/>
        <rFont val="Arial"/>
        <family val="2"/>
        <charset val="238"/>
      </rPr>
      <t xml:space="preserve"> 30-04-'24 r.</t>
    </r>
  </si>
  <si>
    <t>podjecia pracy niesubs. I-IV 2023</t>
  </si>
  <si>
    <t>podjecia pracy niesubs. I-IV 2024</t>
  </si>
  <si>
    <t>praca subs. I-IV 2023</t>
  </si>
  <si>
    <t>praca subs. I-IV 2024</t>
  </si>
  <si>
    <t>staże I-IV 2023</t>
  </si>
  <si>
    <t>staże I-IV 2024</t>
  </si>
  <si>
    <t>stan na 30-04-2023</t>
  </si>
  <si>
    <t>stan na 30-04-2024</t>
  </si>
  <si>
    <r>
      <t>liczba bezrobotnych pow. 12 m-cy,  stan na</t>
    </r>
    <r>
      <rPr>
        <sz val="12"/>
        <color theme="1"/>
        <rFont val="Arial"/>
        <family val="2"/>
        <charset val="238"/>
      </rPr>
      <t xml:space="preserve"> 30-04-'23 r.</t>
    </r>
  </si>
  <si>
    <r>
      <t>liczba bezrobotnych pow. 12 m-cy stan na 30</t>
    </r>
    <r>
      <rPr>
        <sz val="12"/>
        <color theme="1"/>
        <rFont val="Arial"/>
        <family val="2"/>
        <charset val="238"/>
      </rPr>
      <t>-04-'24 r.</t>
    </r>
  </si>
  <si>
    <t>liczba bezrobotnych pow. 12 m-cy stan na 31-03-'24 r.</t>
  </si>
  <si>
    <r>
      <t>liczba bezrobotnych do 30 r. ż. stan na 30</t>
    </r>
    <r>
      <rPr>
        <sz val="12"/>
        <color theme="1"/>
        <rFont val="Arial"/>
        <family val="2"/>
        <charset val="238"/>
      </rPr>
      <t>-04-'23 r.</t>
    </r>
  </si>
  <si>
    <t>liczba bezrobotnych do 30 r. ż. stan na 31-03-'24 r.</t>
  </si>
  <si>
    <r>
      <t>liczba bezrobotnych do 30 r. ż. stan na 30</t>
    </r>
    <r>
      <rPr>
        <sz val="12"/>
        <color theme="1"/>
        <rFont val="Arial"/>
        <family val="2"/>
        <charset val="238"/>
      </rPr>
      <t>-04-'24 r.</t>
    </r>
  </si>
  <si>
    <r>
      <t>liczba bezrobotnych 50+ stan na 30</t>
    </r>
    <r>
      <rPr>
        <sz val="12"/>
        <color theme="1"/>
        <rFont val="Arial"/>
        <family val="2"/>
        <charset val="238"/>
      </rPr>
      <t>-04-'23 r.</t>
    </r>
  </si>
  <si>
    <t>liczba bezrobotnych 50+ stan na 31-03-'24 r.</t>
  </si>
  <si>
    <r>
      <t>liczba bezrobotnych 50+ stan na 30</t>
    </r>
    <r>
      <rPr>
        <sz val="12"/>
        <color theme="1"/>
        <rFont val="Arial"/>
        <family val="2"/>
        <charset val="238"/>
      </rPr>
      <t>-04-'24 r.</t>
    </r>
  </si>
  <si>
    <t>liczba ofert w 04-'23 r.</t>
  </si>
  <si>
    <t>liczba ofert w 04-'24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</si>
</sst>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5" x14ac:knownFonts="1">
    <font>
      <sz val="11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20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Gray">
        <fgColor rgb="FF41AAC3"/>
        <bgColor theme="9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DE2CB"/>
        <bgColor indexed="64"/>
      </patternFill>
    </fill>
    <fill>
      <patternFill patternType="solid">
        <fgColor rgb="FFF8EDE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EF4EC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>
      <alignment horizontal="right" vertical="center"/>
    </xf>
    <xf numFmtId="0" fontId="1" fillId="0" borderId="0">
      <alignment horizontal="center" vertical="center"/>
    </xf>
    <xf numFmtId="0" fontId="1" fillId="0" borderId="0">
      <alignment horizontal="left" vertical="center"/>
    </xf>
  </cellStyleXfs>
  <cellXfs count="170">
    <xf numFmtId="0" fontId="0" fillId="0" borderId="0" xfId="0"/>
    <xf numFmtId="0" fontId="2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3" fontId="2" fillId="2" borderId="0" xfId="0" applyNumberFormat="1" applyFont="1" applyFill="1"/>
    <xf numFmtId="164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164" fontId="2" fillId="2" borderId="0" xfId="0" applyNumberFormat="1" applyFont="1" applyFill="1"/>
    <xf numFmtId="0" fontId="2" fillId="2" borderId="1" xfId="0" quotePrefix="1" applyFont="1" applyFill="1" applyBorder="1" applyAlignment="1">
      <alignment horizontal="center"/>
    </xf>
    <xf numFmtId="164" fontId="2" fillId="2" borderId="1" xfId="0" quotePrefix="1" applyNumberFormat="1" applyFont="1" applyFill="1" applyBorder="1" applyAlignment="1">
      <alignment horizontal="center" vertical="center"/>
    </xf>
    <xf numFmtId="1" fontId="7" fillId="0" borderId="3" xfId="1" applyNumberFormat="1" applyFont="1" applyBorder="1" applyAlignment="1">
      <alignment horizontal="center" vertical="center" wrapText="1"/>
    </xf>
    <xf numFmtId="1" fontId="7" fillId="0" borderId="4" xfId="1" applyNumberFormat="1" applyFont="1" applyBorder="1" applyAlignment="1">
      <alignment horizontal="center" vertical="center" wrapText="1"/>
    </xf>
    <xf numFmtId="1" fontId="7" fillId="0" borderId="5" xfId="1" applyNumberFormat="1" applyFont="1" applyBorder="1" applyAlignment="1">
      <alignment horizontal="center" vertical="center" wrapText="1"/>
    </xf>
    <xf numFmtId="1" fontId="7" fillId="0" borderId="6" xfId="1" applyNumberFormat="1" applyFont="1" applyBorder="1" applyAlignment="1">
      <alignment horizontal="center" vertical="center" wrapText="1"/>
    </xf>
    <xf numFmtId="1" fontId="7" fillId="0" borderId="7" xfId="1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/>
    </xf>
    <xf numFmtId="3" fontId="2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2" fillId="2" borderId="0" xfId="0" applyNumberFormat="1" applyFont="1" applyFill="1" applyAlignment="1">
      <alignment horizontal="center"/>
    </xf>
    <xf numFmtId="3" fontId="6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top"/>
    </xf>
    <xf numFmtId="0" fontId="9" fillId="2" borderId="0" xfId="0" applyFont="1" applyFill="1"/>
    <xf numFmtId="1" fontId="2" fillId="2" borderId="0" xfId="0" applyNumberFormat="1" applyFont="1" applyFill="1" applyAlignment="1">
      <alignment horizontal="center"/>
    </xf>
    <xf numFmtId="15" fontId="3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/>
    <xf numFmtId="3" fontId="6" fillId="3" borderId="1" xfId="0" applyNumberFormat="1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3" fontId="6" fillId="3" borderId="1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9" fillId="2" borderId="1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1" fontId="9" fillId="2" borderId="0" xfId="0" applyNumberFormat="1" applyFont="1" applyFill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1" fontId="9" fillId="2" borderId="11" xfId="1" applyNumberFormat="1" applyFont="1" applyFill="1" applyBorder="1" applyAlignment="1">
      <alignment horizontal="center" vertical="center" wrapText="1"/>
    </xf>
    <xf numFmtId="1" fontId="9" fillId="2" borderId="13" xfId="1" applyNumberFormat="1" applyFont="1" applyFill="1" applyBorder="1" applyAlignment="1">
      <alignment horizontal="center" vertical="center" wrapText="1"/>
    </xf>
    <xf numFmtId="1" fontId="11" fillId="2" borderId="13" xfId="1" applyNumberFormat="1" applyFont="1" applyFill="1" applyBorder="1" applyAlignment="1">
      <alignment horizontal="center" vertical="center" wrapText="1"/>
    </xf>
    <xf numFmtId="1" fontId="9" fillId="2" borderId="28" xfId="0" applyNumberFormat="1" applyFont="1" applyFill="1" applyBorder="1" applyAlignment="1">
      <alignment horizontal="center" vertical="center"/>
    </xf>
    <xf numFmtId="1" fontId="9" fillId="2" borderId="29" xfId="0" applyNumberFormat="1" applyFont="1" applyFill="1" applyBorder="1" applyAlignment="1">
      <alignment horizontal="center" vertical="center"/>
    </xf>
    <xf numFmtId="1" fontId="9" fillId="2" borderId="11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" fontId="9" fillId="2" borderId="13" xfId="0" applyNumberFormat="1" applyFont="1" applyFill="1" applyBorder="1" applyAlignment="1">
      <alignment horizontal="center" vertical="center"/>
    </xf>
    <xf numFmtId="3" fontId="2" fillId="5" borderId="1" xfId="0" applyNumberFormat="1" applyFont="1" applyFill="1" applyBorder="1" applyAlignment="1">
      <alignment horizontal="center" vertical="center"/>
    </xf>
    <xf numFmtId="1" fontId="9" fillId="2" borderId="37" xfId="1" applyNumberFormat="1" applyFont="1" applyFill="1" applyBorder="1" applyAlignment="1">
      <alignment horizontal="center" vertical="center" wrapText="1"/>
    </xf>
    <xf numFmtId="1" fontId="11" fillId="2" borderId="37" xfId="1" applyNumberFormat="1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/>
    </xf>
    <xf numFmtId="1" fontId="9" fillId="2" borderId="15" xfId="1" applyNumberFormat="1" applyFont="1" applyFill="1" applyBorder="1" applyAlignment="1">
      <alignment horizontal="center" vertical="center" wrapText="1"/>
    </xf>
    <xf numFmtId="1" fontId="11" fillId="2" borderId="15" xfId="1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1" fontId="9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0" fillId="2" borderId="0" xfId="0" applyFont="1" applyFill="1" applyBorder="1"/>
    <xf numFmtId="0" fontId="9" fillId="2" borderId="28" xfId="3" quotePrefix="1" applyFont="1" applyFill="1" applyBorder="1" applyAlignment="1">
      <alignment horizontal="left" vertical="center" wrapText="1"/>
    </xf>
    <xf numFmtId="0" fontId="9" fillId="2" borderId="29" xfId="3" quotePrefix="1" applyFont="1" applyFill="1" applyBorder="1" applyAlignment="1">
      <alignment horizontal="left" vertical="center" wrapText="1"/>
    </xf>
    <xf numFmtId="0" fontId="9" fillId="2" borderId="30" xfId="3" quotePrefix="1" applyFont="1" applyFill="1" applyBorder="1" applyAlignment="1">
      <alignment horizontal="left" vertical="center" wrapText="1"/>
    </xf>
    <xf numFmtId="0" fontId="11" fillId="2" borderId="29" xfId="3" quotePrefix="1" applyFont="1" applyFill="1" applyBorder="1" applyAlignment="1">
      <alignment horizontal="left" vertical="center" wrapText="1"/>
    </xf>
    <xf numFmtId="0" fontId="11" fillId="2" borderId="30" xfId="3" quotePrefix="1" applyFont="1" applyFill="1" applyBorder="1" applyAlignment="1">
      <alignment horizontal="left" vertical="center" wrapText="1"/>
    </xf>
    <xf numFmtId="1" fontId="9" fillId="2" borderId="30" xfId="0" applyNumberFormat="1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left" vertical="center"/>
    </xf>
    <xf numFmtId="0" fontId="9" fillId="2" borderId="31" xfId="0" applyFont="1" applyFill="1" applyBorder="1"/>
    <xf numFmtId="0" fontId="9" fillId="2" borderId="26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1" fontId="9" fillId="2" borderId="21" xfId="0" applyNumberFormat="1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11" fillId="2" borderId="27" xfId="2" quotePrefix="1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wrapText="1"/>
    </xf>
    <xf numFmtId="0" fontId="9" fillId="2" borderId="0" xfId="0" applyFont="1" applyFill="1" applyBorder="1"/>
    <xf numFmtId="0" fontId="10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/>
    <xf numFmtId="0" fontId="9" fillId="2" borderId="0" xfId="0" applyFont="1" applyFill="1" applyBorder="1" applyAlignment="1">
      <alignment horizontal="left" vertical="center"/>
    </xf>
    <xf numFmtId="0" fontId="9" fillId="2" borderId="22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1" fontId="9" fillId="2" borderId="32" xfId="1" applyNumberFormat="1" applyFont="1" applyFill="1" applyBorder="1" applyAlignment="1">
      <alignment horizontal="center" vertical="center" wrapText="1"/>
    </xf>
    <xf numFmtId="1" fontId="9" fillId="2" borderId="33" xfId="1" applyNumberFormat="1" applyFont="1" applyFill="1" applyBorder="1" applyAlignment="1">
      <alignment horizontal="center" vertical="center" wrapText="1"/>
    </xf>
    <xf numFmtId="1" fontId="9" fillId="2" borderId="35" xfId="1" applyNumberFormat="1" applyFont="1" applyFill="1" applyBorder="1" applyAlignment="1">
      <alignment horizontal="center" vertical="center" wrapText="1"/>
    </xf>
    <xf numFmtId="1" fontId="11" fillId="2" borderId="33" xfId="1" applyNumberFormat="1" applyFont="1" applyFill="1" applyBorder="1" applyAlignment="1">
      <alignment horizontal="center" vertical="center" wrapText="1"/>
    </xf>
    <xf numFmtId="1" fontId="11" fillId="2" borderId="35" xfId="1" applyNumberFormat="1" applyFont="1" applyFill="1" applyBorder="1" applyAlignment="1">
      <alignment horizontal="center" vertical="center" wrapText="1"/>
    </xf>
    <xf numFmtId="1" fontId="9" fillId="2" borderId="32" xfId="0" applyNumberFormat="1" applyFont="1" applyFill="1" applyBorder="1" applyAlignment="1">
      <alignment horizontal="center" vertical="center"/>
    </xf>
    <xf numFmtId="1" fontId="9" fillId="2" borderId="33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9" fillId="2" borderId="38" xfId="0" applyFont="1" applyFill="1" applyBorder="1" applyAlignment="1">
      <alignment horizontal="center" vertical="center" wrapText="1"/>
    </xf>
    <xf numFmtId="1" fontId="9" fillId="2" borderId="35" xfId="0" applyNumberFormat="1" applyFont="1" applyFill="1" applyBorder="1" applyAlignment="1">
      <alignment horizontal="center" vertical="center"/>
    </xf>
    <xf numFmtId="1" fontId="9" fillId="2" borderId="36" xfId="0" applyNumberFormat="1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1" fontId="9" fillId="2" borderId="41" xfId="0" applyNumberFormat="1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 wrapText="1"/>
    </xf>
    <xf numFmtId="0" fontId="9" fillId="2" borderId="42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/>
    </xf>
    <xf numFmtId="0" fontId="2" fillId="2" borderId="0" xfId="0" quotePrefix="1" applyFont="1" applyFill="1" applyAlignment="1">
      <alignment horizontal="left" vertical="center"/>
    </xf>
    <xf numFmtId="0" fontId="9" fillId="6" borderId="27" xfId="0" applyFont="1" applyFill="1" applyBorder="1" applyAlignment="1">
      <alignment horizontal="center" vertical="center" wrapText="1"/>
    </xf>
    <xf numFmtId="1" fontId="9" fillId="2" borderId="23" xfId="0" applyNumberFormat="1" applyFont="1" applyFill="1" applyBorder="1" applyAlignment="1">
      <alignment horizontal="center" vertical="center"/>
    </xf>
    <xf numFmtId="1" fontId="9" fillId="2" borderId="24" xfId="0" applyNumberFormat="1" applyFont="1" applyFill="1" applyBorder="1" applyAlignment="1">
      <alignment horizontal="center" vertical="center"/>
    </xf>
    <xf numFmtId="1" fontId="9" fillId="2" borderId="25" xfId="0" applyNumberFormat="1" applyFont="1" applyFill="1" applyBorder="1" applyAlignment="1">
      <alignment horizontal="center" vertical="center"/>
    </xf>
    <xf numFmtId="1" fontId="9" fillId="7" borderId="29" xfId="0" applyNumberFormat="1" applyFont="1" applyFill="1" applyBorder="1" applyAlignment="1">
      <alignment horizontal="center" vertical="center"/>
    </xf>
    <xf numFmtId="1" fontId="9" fillId="7" borderId="30" xfId="0" applyNumberFormat="1" applyFont="1" applyFill="1" applyBorder="1" applyAlignment="1">
      <alignment horizontal="center" vertical="center"/>
    </xf>
    <xf numFmtId="1" fontId="9" fillId="8" borderId="18" xfId="0" applyNumberFormat="1" applyFont="1" applyFill="1" applyBorder="1" applyAlignment="1">
      <alignment horizontal="center" vertical="center" wrapText="1"/>
    </xf>
    <xf numFmtId="1" fontId="9" fillId="8" borderId="10" xfId="0" applyNumberFormat="1" applyFont="1" applyFill="1" applyBorder="1" applyAlignment="1">
      <alignment horizontal="center" vertical="center"/>
    </xf>
    <xf numFmtId="1" fontId="9" fillId="8" borderId="12" xfId="0" applyNumberFormat="1" applyFont="1" applyFill="1" applyBorder="1" applyAlignment="1">
      <alignment horizontal="center" vertical="center"/>
    </xf>
    <xf numFmtId="1" fontId="9" fillId="8" borderId="14" xfId="0" applyNumberFormat="1" applyFont="1" applyFill="1" applyBorder="1" applyAlignment="1">
      <alignment horizontal="center" vertical="center"/>
    </xf>
    <xf numFmtId="1" fontId="9" fillId="8" borderId="20" xfId="0" applyNumberFormat="1" applyFont="1" applyFill="1" applyBorder="1" applyAlignment="1">
      <alignment horizontal="center" vertical="center"/>
    </xf>
    <xf numFmtId="2" fontId="9" fillId="8" borderId="19" xfId="0" applyNumberFormat="1" applyFont="1" applyFill="1" applyBorder="1" applyAlignment="1">
      <alignment horizontal="center" vertical="center" wrapText="1"/>
    </xf>
    <xf numFmtId="2" fontId="9" fillId="8" borderId="38" xfId="0" applyNumberFormat="1" applyFont="1" applyFill="1" applyBorder="1" applyAlignment="1">
      <alignment horizontal="center" vertical="center" wrapText="1"/>
    </xf>
    <xf numFmtId="0" fontId="9" fillId="8" borderId="40" xfId="0" applyFont="1" applyFill="1" applyBorder="1" applyAlignment="1">
      <alignment horizontal="center" vertical="center" wrapText="1"/>
    </xf>
    <xf numFmtId="0" fontId="9" fillId="8" borderId="8" xfId="0" applyFont="1" applyFill="1" applyBorder="1" applyAlignment="1">
      <alignment horizontal="center" vertical="center" wrapText="1"/>
    </xf>
    <xf numFmtId="0" fontId="9" fillId="8" borderId="9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/>
    </xf>
    <xf numFmtId="0" fontId="9" fillId="7" borderId="38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left" vertical="center"/>
    </xf>
    <xf numFmtId="3" fontId="4" fillId="5" borderId="1" xfId="0" applyNumberFormat="1" applyFont="1" applyFill="1" applyBorder="1" applyAlignment="1">
      <alignment horizontal="left" vertical="top"/>
    </xf>
    <xf numFmtId="0" fontId="2" fillId="2" borderId="42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3" fontId="2" fillId="9" borderId="1" xfId="0" applyNumberFormat="1" applyFont="1" applyFill="1" applyBorder="1" applyAlignment="1">
      <alignment horizontal="center" vertical="center"/>
    </xf>
    <xf numFmtId="3" fontId="2" fillId="9" borderId="42" xfId="0" applyNumberFormat="1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left" vertical="top"/>
    </xf>
    <xf numFmtId="3" fontId="14" fillId="2" borderId="0" xfId="0" applyNumberFormat="1" applyFont="1" applyFill="1" applyAlignment="1">
      <alignment horizontal="center" vertical="center"/>
    </xf>
    <xf numFmtId="3" fontId="3" fillId="8" borderId="1" xfId="0" applyNumberFormat="1" applyFont="1" applyFill="1" applyBorder="1" applyAlignment="1">
      <alignment horizontal="left" vertical="center"/>
    </xf>
    <xf numFmtId="3" fontId="2" fillId="8" borderId="1" xfId="0" applyNumberFormat="1" applyFont="1" applyFill="1" applyBorder="1" applyAlignment="1">
      <alignment horizontal="center" vertical="center"/>
    </xf>
    <xf numFmtId="3" fontId="4" fillId="8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left" vertical="center"/>
    </xf>
    <xf numFmtId="3" fontId="2" fillId="8" borderId="42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/>
    </xf>
    <xf numFmtId="0" fontId="4" fillId="8" borderId="1" xfId="0" applyFont="1" applyFill="1" applyBorder="1" applyAlignment="1">
      <alignment horizontal="left" vertical="center"/>
    </xf>
  </cellXfs>
  <cellStyles count="4">
    <cellStyle name="Normalny" xfId="0" builtinId="0"/>
    <cellStyle name="S4" xfId="2" xr:uid="{124FFDC3-3E86-4499-8194-8F114FEE6CA4}"/>
    <cellStyle name="S6" xfId="3" xr:uid="{3FC41AED-4160-4FBB-B03D-A2D3936CBE2A}"/>
    <cellStyle name="S7" xfId="1" xr:uid="{00000000-0005-0000-0000-000001000000}"/>
  </cellStyles>
  <dxfs count="0"/>
  <tableStyles count="0" defaultTableStyle="TableStyleMedium2" defaultPivotStyle="PivotStyleLight16"/>
  <colors>
    <mruColors>
      <color rgb="FFEAF0F6"/>
      <color rgb="FFFEF4EC"/>
      <color rgb="FFF8EDEC"/>
      <color rgb="FFF5E4E3"/>
      <color rgb="FFFDE2CB"/>
      <color rgb="FF0000FF"/>
      <color rgb="FFFABF8F"/>
      <color rgb="FFC49F00"/>
      <color rgb="FFFFCC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900" b="0">
                <a:latin typeface="Arial" panose="020B0604020202020204" pitchFamily="34" charset="0"/>
                <a:cs typeface="Arial" panose="020B0604020202020204" pitchFamily="34" charset="0"/>
              </a:rPr>
              <a:t>Liczba bezrobotnych wg powiatów</a:t>
            </a:r>
            <a:r>
              <a:rPr lang="pl-PL" sz="900" b="0">
                <a:latin typeface="Arial" panose="020B0604020202020204" pitchFamily="34" charset="0"/>
                <a:cs typeface="Arial" panose="020B0604020202020204" pitchFamily="34" charset="0"/>
              </a:rPr>
              <a:t> [podkarpackie]</a:t>
            </a:r>
            <a:endParaRPr lang="en-US" sz="9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2192445984916986"/>
          <c:y val="1.426759135302606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8.0408578765934824E-2"/>
          <c:w val="0.74633420974998044"/>
          <c:h val="0.863538220391920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'1sort'!$B$1</c:f>
              <c:strCache>
                <c:ptCount val="1"/>
                <c:pt idx="0">
                  <c:v>Liczba bezrobotnych w województwie podkarpackim wg powiatów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599-4D79-AB39-F167CD5FD6A6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599-4D79-AB39-F167CD5FD6A6}"/>
              </c:ext>
            </c:extLst>
          </c:dPt>
          <c:dLbls>
            <c:dLbl>
              <c:idx val="13"/>
              <c:layout>
                <c:manualLayout>
                  <c:x val="9.6039205303000803E-4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599-4D79-AB39-F167CD5FD6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'1sort'!$C$4:$C$28</c:f>
              <c:strCache>
                <c:ptCount val="25"/>
                <c:pt idx="0">
                  <c:v>Krosno</c:v>
                </c:pt>
                <c:pt idx="1">
                  <c:v>bieszczadzki</c:v>
                </c:pt>
                <c:pt idx="2">
                  <c:v>Tarnobrzeg</c:v>
                </c:pt>
                <c:pt idx="3">
                  <c:v>tarnobrzeski </c:v>
                </c:pt>
                <c:pt idx="4">
                  <c:v>kolbuszowski</c:v>
                </c:pt>
                <c:pt idx="5">
                  <c:v>lubaczowski</c:v>
                </c:pt>
                <c:pt idx="6">
                  <c:v>leski</c:v>
                </c:pt>
                <c:pt idx="7">
                  <c:v>stalowowolski</c:v>
                </c:pt>
                <c:pt idx="8">
                  <c:v>Przemyśl</c:v>
                </c:pt>
                <c:pt idx="9">
                  <c:v>krośnieński</c:v>
                </c:pt>
                <c:pt idx="10">
                  <c:v>dębicki</c:v>
                </c:pt>
                <c:pt idx="11">
                  <c:v>łańcucki</c:v>
                </c:pt>
                <c:pt idx="12">
                  <c:v>ropczycko-sędziszowski</c:v>
                </c:pt>
                <c:pt idx="13">
                  <c:v>sanocki</c:v>
                </c:pt>
                <c:pt idx="14">
                  <c:v>przemyski</c:v>
                </c:pt>
                <c:pt idx="15">
                  <c:v>mielecki</c:v>
                </c:pt>
                <c:pt idx="16">
                  <c:v>niżański</c:v>
                </c:pt>
                <c:pt idx="17">
                  <c:v>leżajski</c:v>
                </c:pt>
                <c:pt idx="18">
                  <c:v>strzyżowski</c:v>
                </c:pt>
                <c:pt idx="19">
                  <c:v>przeworski</c:v>
                </c:pt>
                <c:pt idx="20">
                  <c:v>brzozowski</c:v>
                </c:pt>
                <c:pt idx="21">
                  <c:v>jarosławski</c:v>
                </c:pt>
                <c:pt idx="22">
                  <c:v>rzeszowski</c:v>
                </c:pt>
                <c:pt idx="23">
                  <c:v>jasielski</c:v>
                </c:pt>
                <c:pt idx="24">
                  <c:v>Rzeszów</c:v>
                </c:pt>
              </c:strCache>
            </c:strRef>
          </c:cat>
          <c:val>
            <c:numRef>
              <c:f>'1sort'!$D$4:$D$28</c:f>
              <c:numCache>
                <c:formatCode>#,##0</c:formatCode>
                <c:ptCount val="25"/>
                <c:pt idx="0" formatCode="General">
                  <c:v>862</c:v>
                </c:pt>
                <c:pt idx="1">
                  <c:v>1039</c:v>
                </c:pt>
                <c:pt idx="2">
                  <c:v>1086</c:v>
                </c:pt>
                <c:pt idx="3">
                  <c:v>1228</c:v>
                </c:pt>
                <c:pt idx="4">
                  <c:v>1525</c:v>
                </c:pt>
                <c:pt idx="5">
                  <c:v>1656</c:v>
                </c:pt>
                <c:pt idx="6">
                  <c:v>1676</c:v>
                </c:pt>
                <c:pt idx="7">
                  <c:v>1959</c:v>
                </c:pt>
                <c:pt idx="8">
                  <c:v>2314</c:v>
                </c:pt>
                <c:pt idx="9">
                  <c:v>2316</c:v>
                </c:pt>
                <c:pt idx="10">
                  <c:v>2394</c:v>
                </c:pt>
                <c:pt idx="11">
                  <c:v>2501</c:v>
                </c:pt>
                <c:pt idx="12">
                  <c:v>2695</c:v>
                </c:pt>
                <c:pt idx="13">
                  <c:v>2728</c:v>
                </c:pt>
                <c:pt idx="14">
                  <c:v>2792</c:v>
                </c:pt>
                <c:pt idx="15">
                  <c:v>2872</c:v>
                </c:pt>
                <c:pt idx="16">
                  <c:v>2937</c:v>
                </c:pt>
                <c:pt idx="17">
                  <c:v>3042</c:v>
                </c:pt>
                <c:pt idx="18">
                  <c:v>3059</c:v>
                </c:pt>
                <c:pt idx="19">
                  <c:v>3160</c:v>
                </c:pt>
                <c:pt idx="20">
                  <c:v>3585</c:v>
                </c:pt>
                <c:pt idx="21">
                  <c:v>4276</c:v>
                </c:pt>
                <c:pt idx="22">
                  <c:v>4604</c:v>
                </c:pt>
                <c:pt idx="23">
                  <c:v>4902</c:v>
                </c:pt>
                <c:pt idx="24">
                  <c:v>5039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99-4D79-AB39-F167CD5FD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9111424"/>
        <c:axId val="139315072"/>
      </c:barChart>
      <c:catAx>
        <c:axId val="1391114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9315072"/>
        <c:crosses val="autoZero"/>
        <c:auto val="1"/>
        <c:lblAlgn val="ctr"/>
        <c:lblOffset val="100"/>
        <c:noMultiLvlLbl val="0"/>
      </c:catAx>
      <c:valAx>
        <c:axId val="13931507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9111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Oferty pracy 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ogółem według stanu</a:t>
            </a:r>
            <a:r>
              <a:rPr lang="pl-PL" sz="800" b="0" baseline="0">
                <a:latin typeface="Arial" panose="020B0604020202020204" pitchFamily="34" charset="0"/>
                <a:cs typeface="Arial" panose="020B0604020202020204" pitchFamily="34" charset="0"/>
              </a:rPr>
              <a:t> na koniec miesiąca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(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w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olne miejsca pracy</a:t>
            </a:r>
            <a:endParaRPr lang="pl-PL" sz="800" b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i miejsca aktywizacji zawodowej) wg powiatów</a:t>
            </a:r>
          </a:p>
        </c:rich>
      </c:tx>
      <c:layout>
        <c:manualLayout>
          <c:xMode val="edge"/>
          <c:yMode val="edge"/>
          <c:x val="0.2104416159680096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'9sort'!$B$1</c:f>
              <c:strCache>
                <c:ptCount val="1"/>
                <c:pt idx="0">
                  <c:v>Oferty pracy ogółem - stan na koniec m-ca (wolne miejsca pracy i miejsca aktywizacji zawodowej) wg powiatów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379-4153-AE4E-564F7750153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379-4153-AE4E-564F7750153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'9sort'!$C$4:$C$28</c:f>
              <c:strCache>
                <c:ptCount val="25"/>
                <c:pt idx="0">
                  <c:v>brzozowski</c:v>
                </c:pt>
                <c:pt idx="1">
                  <c:v>Przemyśl</c:v>
                </c:pt>
                <c:pt idx="2">
                  <c:v>przemyski</c:v>
                </c:pt>
                <c:pt idx="3">
                  <c:v>bieszczadzki</c:v>
                </c:pt>
                <c:pt idx="4">
                  <c:v>sanocki</c:v>
                </c:pt>
                <c:pt idx="5">
                  <c:v>strzyżowski</c:v>
                </c:pt>
                <c:pt idx="6">
                  <c:v>Tarnobrzeg</c:v>
                </c:pt>
                <c:pt idx="7">
                  <c:v>tarnobrzeski </c:v>
                </c:pt>
                <c:pt idx="8">
                  <c:v>łańcucki</c:v>
                </c:pt>
                <c:pt idx="9">
                  <c:v>leski</c:v>
                </c:pt>
                <c:pt idx="10">
                  <c:v>ropczycko-sędziszowski</c:v>
                </c:pt>
                <c:pt idx="11">
                  <c:v>niżański</c:v>
                </c:pt>
                <c:pt idx="12">
                  <c:v>lubaczowski</c:v>
                </c:pt>
                <c:pt idx="13">
                  <c:v>kolbuszowski</c:v>
                </c:pt>
                <c:pt idx="14">
                  <c:v>dębicki</c:v>
                </c:pt>
                <c:pt idx="15">
                  <c:v>stalowowolski</c:v>
                </c:pt>
                <c:pt idx="16">
                  <c:v>rzeszowski</c:v>
                </c:pt>
                <c:pt idx="17">
                  <c:v>jarosławski</c:v>
                </c:pt>
                <c:pt idx="18">
                  <c:v>leżajski</c:v>
                </c:pt>
                <c:pt idx="19">
                  <c:v>Krosno</c:v>
                </c:pt>
                <c:pt idx="20">
                  <c:v>przeworski</c:v>
                </c:pt>
                <c:pt idx="21">
                  <c:v>krośnieński</c:v>
                </c:pt>
                <c:pt idx="22">
                  <c:v>jasielski</c:v>
                </c:pt>
                <c:pt idx="23">
                  <c:v>Rzeszów</c:v>
                </c:pt>
                <c:pt idx="24">
                  <c:v>mielecki</c:v>
                </c:pt>
              </c:strCache>
            </c:strRef>
          </c:cat>
          <c:val>
            <c:numRef>
              <c:f>'9sort'!$D$4:$D$28</c:f>
              <c:numCache>
                <c:formatCode>#,##0</c:formatCode>
                <c:ptCount val="25"/>
                <c:pt idx="0" formatCode="General">
                  <c:v>7</c:v>
                </c:pt>
                <c:pt idx="1">
                  <c:v>15</c:v>
                </c:pt>
                <c:pt idx="2">
                  <c:v>16</c:v>
                </c:pt>
                <c:pt idx="3">
                  <c:v>19</c:v>
                </c:pt>
                <c:pt idx="4">
                  <c:v>25</c:v>
                </c:pt>
                <c:pt idx="5">
                  <c:v>35</c:v>
                </c:pt>
                <c:pt idx="6">
                  <c:v>38</c:v>
                </c:pt>
                <c:pt idx="7">
                  <c:v>40</c:v>
                </c:pt>
                <c:pt idx="8">
                  <c:v>44</c:v>
                </c:pt>
                <c:pt idx="9">
                  <c:v>52</c:v>
                </c:pt>
                <c:pt idx="10">
                  <c:v>53</c:v>
                </c:pt>
                <c:pt idx="11">
                  <c:v>69</c:v>
                </c:pt>
                <c:pt idx="12">
                  <c:v>73</c:v>
                </c:pt>
                <c:pt idx="13">
                  <c:v>84</c:v>
                </c:pt>
                <c:pt idx="14">
                  <c:v>91</c:v>
                </c:pt>
                <c:pt idx="15">
                  <c:v>93</c:v>
                </c:pt>
                <c:pt idx="16">
                  <c:v>100</c:v>
                </c:pt>
                <c:pt idx="17">
                  <c:v>103</c:v>
                </c:pt>
                <c:pt idx="18">
                  <c:v>116</c:v>
                </c:pt>
                <c:pt idx="19">
                  <c:v>120</c:v>
                </c:pt>
                <c:pt idx="20">
                  <c:v>124</c:v>
                </c:pt>
                <c:pt idx="21">
                  <c:v>131</c:v>
                </c:pt>
                <c:pt idx="22">
                  <c:v>149</c:v>
                </c:pt>
                <c:pt idx="23">
                  <c:v>217</c:v>
                </c:pt>
                <c:pt idx="24">
                  <c:v>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79-4153-AE4E-564F77501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8471296"/>
        <c:axId val="138472832"/>
      </c:barChart>
      <c:catAx>
        <c:axId val="1384712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2832"/>
        <c:crosses val="autoZero"/>
        <c:auto val="1"/>
        <c:lblAlgn val="ctr"/>
        <c:lblOffset val="100"/>
        <c:noMultiLvlLbl val="0"/>
      </c:catAx>
      <c:valAx>
        <c:axId val="13847283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1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/>
            </a:pPr>
            <a:r>
              <a:rPr kumimoji="0" lang="pl-PL" sz="9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Spadki i wzrosty liczby bezrobotnych </a:t>
            </a:r>
            <a:r>
              <a:rPr kumimoji="0" lang="en-US" sz="9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w powiat</a:t>
            </a:r>
            <a:r>
              <a:rPr kumimoji="0" lang="pl-PL" sz="9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ach [podkarpackie]</a:t>
            </a:r>
            <a:endParaRPr kumimoji="0" lang="en-US" sz="9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7808108780213744"/>
          <c:y val="5.151331284667943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7971075887508984E-2"/>
          <c:y val="9.384604092886846E-2"/>
          <c:w val="0.92202892411249104"/>
          <c:h val="0.870590330209915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'1sort'!$V$1</c:f>
              <c:strCache>
                <c:ptCount val="1"/>
                <c:pt idx="0">
                  <c:v>Spadki i wzrosty - liczba bezrobotnych wg powiatów [podkarpackie]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'1sort'!$W$4:$W$29</c:f>
              <c:strCache>
                <c:ptCount val="26"/>
                <c:pt idx="0">
                  <c:v>województwo</c:v>
                </c:pt>
                <c:pt idx="1">
                  <c:v>jasielski</c:v>
                </c:pt>
                <c:pt idx="2">
                  <c:v>brzozowski</c:v>
                </c:pt>
                <c:pt idx="3">
                  <c:v>jarosławski</c:v>
                </c:pt>
                <c:pt idx="4">
                  <c:v>sanocki</c:v>
                </c:pt>
                <c:pt idx="5">
                  <c:v>przemyski</c:v>
                </c:pt>
                <c:pt idx="6">
                  <c:v>dębicki</c:v>
                </c:pt>
                <c:pt idx="7">
                  <c:v>lubaczowski</c:v>
                </c:pt>
                <c:pt idx="8">
                  <c:v>łańcucki</c:v>
                </c:pt>
                <c:pt idx="9">
                  <c:v>rzeszowski</c:v>
                </c:pt>
                <c:pt idx="10">
                  <c:v>krośnieński</c:v>
                </c:pt>
                <c:pt idx="11">
                  <c:v>leżajski</c:v>
                </c:pt>
                <c:pt idx="12">
                  <c:v>mielecki</c:v>
                </c:pt>
                <c:pt idx="13">
                  <c:v>Rzeszów</c:v>
                </c:pt>
                <c:pt idx="14">
                  <c:v>strzyżowski</c:v>
                </c:pt>
                <c:pt idx="15">
                  <c:v>tarnobrzeski </c:v>
                </c:pt>
                <c:pt idx="16">
                  <c:v>stalowowolski</c:v>
                </c:pt>
                <c:pt idx="17">
                  <c:v>leski</c:v>
                </c:pt>
                <c:pt idx="18">
                  <c:v>niżański</c:v>
                </c:pt>
                <c:pt idx="19">
                  <c:v>kolbuszowski</c:v>
                </c:pt>
                <c:pt idx="20">
                  <c:v>bieszczadzki</c:v>
                </c:pt>
                <c:pt idx="21">
                  <c:v>Przemyśl</c:v>
                </c:pt>
                <c:pt idx="22">
                  <c:v>przeworski</c:v>
                </c:pt>
                <c:pt idx="23">
                  <c:v>Tarnobrzeg</c:v>
                </c:pt>
                <c:pt idx="24">
                  <c:v>Krosno</c:v>
                </c:pt>
                <c:pt idx="25">
                  <c:v>ropczycko-sędziszowski</c:v>
                </c:pt>
              </c:strCache>
            </c:strRef>
          </c:cat>
          <c:val>
            <c:numRef>
              <c:f>'1sort'!$X$4:$X$29</c:f>
              <c:numCache>
                <c:formatCode>#,##0</c:formatCode>
                <c:ptCount val="26"/>
                <c:pt idx="0" formatCode="General">
                  <c:v>-2152</c:v>
                </c:pt>
                <c:pt idx="1">
                  <c:v>-244</c:v>
                </c:pt>
                <c:pt idx="2">
                  <c:v>-193</c:v>
                </c:pt>
                <c:pt idx="3">
                  <c:v>-193</c:v>
                </c:pt>
                <c:pt idx="4">
                  <c:v>-155</c:v>
                </c:pt>
                <c:pt idx="5">
                  <c:v>-143</c:v>
                </c:pt>
                <c:pt idx="6">
                  <c:v>-123</c:v>
                </c:pt>
                <c:pt idx="7">
                  <c:v>-113</c:v>
                </c:pt>
                <c:pt idx="8">
                  <c:v>-110</c:v>
                </c:pt>
                <c:pt idx="9">
                  <c:v>-105</c:v>
                </c:pt>
                <c:pt idx="10">
                  <c:v>-91</c:v>
                </c:pt>
                <c:pt idx="11">
                  <c:v>-86</c:v>
                </c:pt>
                <c:pt idx="12">
                  <c:v>-76</c:v>
                </c:pt>
                <c:pt idx="13">
                  <c:v>-75</c:v>
                </c:pt>
                <c:pt idx="14">
                  <c:v>-74</c:v>
                </c:pt>
                <c:pt idx="15">
                  <c:v>-70</c:v>
                </c:pt>
                <c:pt idx="16">
                  <c:v>-64</c:v>
                </c:pt>
                <c:pt idx="17">
                  <c:v>-57</c:v>
                </c:pt>
                <c:pt idx="18">
                  <c:v>-47</c:v>
                </c:pt>
                <c:pt idx="19">
                  <c:v>-46</c:v>
                </c:pt>
                <c:pt idx="20">
                  <c:v>-43</c:v>
                </c:pt>
                <c:pt idx="21">
                  <c:v>-43</c:v>
                </c:pt>
                <c:pt idx="22">
                  <c:v>-39</c:v>
                </c:pt>
                <c:pt idx="23">
                  <c:v>-35</c:v>
                </c:pt>
                <c:pt idx="24">
                  <c:v>-13</c:v>
                </c:pt>
                <c:pt idx="25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50-42DA-A2EB-687A642BA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58"/>
        <c:axId val="83211168"/>
        <c:axId val="83197856"/>
      </c:barChart>
      <c:catAx>
        <c:axId val="8321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83197856"/>
        <c:crosses val="autoZero"/>
        <c:auto val="1"/>
        <c:lblAlgn val="ctr"/>
        <c:lblOffset val="100"/>
        <c:noMultiLvlLbl val="0"/>
      </c:catAx>
      <c:valAx>
        <c:axId val="831978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crossAx val="83211168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>
      <a:solidFill>
        <a:schemeClr val="bg1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Bezrobotne kobiety zarejestrowane w PUP w woj. podkarpackim</a:t>
            </a:r>
          </a:p>
        </c:rich>
      </c:tx>
      <c:layout>
        <c:manualLayout>
          <c:xMode val="edge"/>
          <c:yMode val="edge"/>
          <c:x val="0.28174039628796954"/>
          <c:y val="3.063954195740031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1717939459898095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'2sort'!$B$1:$C$1</c:f>
              <c:strCache>
                <c:ptCount val="1"/>
                <c:pt idx="0">
                  <c:v>Bezrobotne kobiety zarejestrowane w PUP w woj. podkarpackim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D3C-4037-B1E0-F7AD38217C7E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D3C-4037-B1E0-F7AD38217C7E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3C-4037-B1E0-F7AD38217C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'2sort'!$C$4:$C$28</c:f>
              <c:strCache>
                <c:ptCount val="25"/>
                <c:pt idx="0">
                  <c:v>Krosno</c:v>
                </c:pt>
                <c:pt idx="1">
                  <c:v>bieszczadzki</c:v>
                </c:pt>
                <c:pt idx="2">
                  <c:v>Tarnobrzeg</c:v>
                </c:pt>
                <c:pt idx="3">
                  <c:v>tarnobrzeski </c:v>
                </c:pt>
                <c:pt idx="4">
                  <c:v>kolbuszowski</c:v>
                </c:pt>
                <c:pt idx="5">
                  <c:v>lubaczowski</c:v>
                </c:pt>
                <c:pt idx="6">
                  <c:v>leski</c:v>
                </c:pt>
                <c:pt idx="7">
                  <c:v>stalowowolski</c:v>
                </c:pt>
                <c:pt idx="8">
                  <c:v>Przemyśl</c:v>
                </c:pt>
                <c:pt idx="9">
                  <c:v>łańcucki</c:v>
                </c:pt>
                <c:pt idx="10">
                  <c:v>krośnieński</c:v>
                </c:pt>
                <c:pt idx="11">
                  <c:v>sanocki</c:v>
                </c:pt>
                <c:pt idx="12">
                  <c:v>ropczycko-sędziszowski</c:v>
                </c:pt>
                <c:pt idx="13">
                  <c:v>mielecki</c:v>
                </c:pt>
                <c:pt idx="14">
                  <c:v>dębicki</c:v>
                </c:pt>
                <c:pt idx="15">
                  <c:v>przemyski</c:v>
                </c:pt>
                <c:pt idx="16">
                  <c:v>niżański</c:v>
                </c:pt>
                <c:pt idx="17">
                  <c:v>leżajski</c:v>
                </c:pt>
                <c:pt idx="18">
                  <c:v>strzyżowski</c:v>
                </c:pt>
                <c:pt idx="19">
                  <c:v>przeworski</c:v>
                </c:pt>
                <c:pt idx="20">
                  <c:v>brzozowski</c:v>
                </c:pt>
                <c:pt idx="21">
                  <c:v>rzeszowski</c:v>
                </c:pt>
                <c:pt idx="22">
                  <c:v>jarosławski</c:v>
                </c:pt>
                <c:pt idx="23">
                  <c:v>Rzeszów</c:v>
                </c:pt>
                <c:pt idx="24">
                  <c:v>jasielski</c:v>
                </c:pt>
              </c:strCache>
            </c:strRef>
          </c:cat>
          <c:val>
            <c:numRef>
              <c:f>'2sort'!$D$4:$D$28</c:f>
              <c:numCache>
                <c:formatCode>#,##0</c:formatCode>
                <c:ptCount val="25"/>
                <c:pt idx="0" formatCode="General">
                  <c:v>465</c:v>
                </c:pt>
                <c:pt idx="1">
                  <c:v>499</c:v>
                </c:pt>
                <c:pt idx="2">
                  <c:v>535</c:v>
                </c:pt>
                <c:pt idx="3">
                  <c:v>629</c:v>
                </c:pt>
                <c:pt idx="4">
                  <c:v>714</c:v>
                </c:pt>
                <c:pt idx="5">
                  <c:v>753</c:v>
                </c:pt>
                <c:pt idx="6">
                  <c:v>789</c:v>
                </c:pt>
                <c:pt idx="7">
                  <c:v>1012</c:v>
                </c:pt>
                <c:pt idx="8">
                  <c:v>1111</c:v>
                </c:pt>
                <c:pt idx="9">
                  <c:v>1163</c:v>
                </c:pt>
                <c:pt idx="10">
                  <c:v>1247</c:v>
                </c:pt>
                <c:pt idx="11">
                  <c:v>1332</c:v>
                </c:pt>
                <c:pt idx="12">
                  <c:v>1383</c:v>
                </c:pt>
                <c:pt idx="13">
                  <c:v>1401</c:v>
                </c:pt>
                <c:pt idx="14">
                  <c:v>1402</c:v>
                </c:pt>
                <c:pt idx="15">
                  <c:v>1405</c:v>
                </c:pt>
                <c:pt idx="16">
                  <c:v>1471</c:v>
                </c:pt>
                <c:pt idx="17">
                  <c:v>1557</c:v>
                </c:pt>
                <c:pt idx="18">
                  <c:v>1566</c:v>
                </c:pt>
                <c:pt idx="19">
                  <c:v>1693</c:v>
                </c:pt>
                <c:pt idx="20">
                  <c:v>1806</c:v>
                </c:pt>
                <c:pt idx="21">
                  <c:v>2175</c:v>
                </c:pt>
                <c:pt idx="22">
                  <c:v>2205</c:v>
                </c:pt>
                <c:pt idx="23">
                  <c:v>2536</c:v>
                </c:pt>
                <c:pt idx="24">
                  <c:v>2814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3C-4037-B1E0-F7AD38217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208241792"/>
        <c:axId val="208243712"/>
      </c:barChart>
      <c:catAx>
        <c:axId val="2082417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08243712"/>
        <c:crosses val="autoZero"/>
        <c:auto val="1"/>
        <c:lblAlgn val="ctr"/>
        <c:lblOffset val="100"/>
        <c:noMultiLvlLbl val="0"/>
      </c:catAx>
      <c:valAx>
        <c:axId val="20824371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082417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zamieszkłaych na wsi w województwie podkarpackim</a:t>
            </a:r>
          </a:p>
        </c:rich>
      </c:tx>
      <c:layout>
        <c:manualLayout>
          <c:xMode val="edge"/>
          <c:yMode val="edge"/>
          <c:x val="0.30270230792241981"/>
          <c:y val="2.901519829783746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'3sort'!$B$1</c:f>
              <c:strCache>
                <c:ptCount val="1"/>
                <c:pt idx="0">
                  <c:v>Liczba bezrobotnych zamieszkłaych na wsi w województwie podkarpackim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EF6-4CD7-AD3E-E88E51C3A65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EF6-4CD7-AD3E-E88E51C3A65C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F6-4CD7-AD3E-E88E51C3A6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'3sort'!$C$4:$C$24</c:f>
              <c:strCache>
                <c:ptCount val="21"/>
                <c:pt idx="0">
                  <c:v>bieszczadzki</c:v>
                </c:pt>
                <c:pt idx="1">
                  <c:v>stalowowolski</c:v>
                </c:pt>
                <c:pt idx="2">
                  <c:v>tarnobrzeski </c:v>
                </c:pt>
                <c:pt idx="3">
                  <c:v>lubaczowski</c:v>
                </c:pt>
                <c:pt idx="4">
                  <c:v>kolbuszowski</c:v>
                </c:pt>
                <c:pt idx="5">
                  <c:v>leski</c:v>
                </c:pt>
                <c:pt idx="6">
                  <c:v>dębicki</c:v>
                </c:pt>
                <c:pt idx="7">
                  <c:v>mielecki</c:v>
                </c:pt>
                <c:pt idx="8">
                  <c:v>sanocki</c:v>
                </c:pt>
                <c:pt idx="9">
                  <c:v>ropczycko-sędziszowski</c:v>
                </c:pt>
                <c:pt idx="10">
                  <c:v>niżański</c:v>
                </c:pt>
                <c:pt idx="11">
                  <c:v>łańcucki</c:v>
                </c:pt>
                <c:pt idx="12">
                  <c:v>krośnieński</c:v>
                </c:pt>
                <c:pt idx="13">
                  <c:v>leżajski</c:v>
                </c:pt>
                <c:pt idx="14">
                  <c:v>przeworski</c:v>
                </c:pt>
                <c:pt idx="15">
                  <c:v>jarosławski</c:v>
                </c:pt>
                <c:pt idx="16">
                  <c:v>przemyski</c:v>
                </c:pt>
                <c:pt idx="17">
                  <c:v>strzyżowski</c:v>
                </c:pt>
                <c:pt idx="18">
                  <c:v>brzozowski</c:v>
                </c:pt>
                <c:pt idx="19">
                  <c:v>jasielski</c:v>
                </c:pt>
                <c:pt idx="20">
                  <c:v>rzeszowski</c:v>
                </c:pt>
              </c:strCache>
            </c:strRef>
          </c:cat>
          <c:val>
            <c:numRef>
              <c:f>'3sort'!$D$4:$D$24</c:f>
              <c:numCache>
                <c:formatCode>#,##0</c:formatCode>
                <c:ptCount val="21"/>
                <c:pt idx="0" formatCode="General">
                  <c:v>674</c:v>
                </c:pt>
                <c:pt idx="1">
                  <c:v>774</c:v>
                </c:pt>
                <c:pt idx="2">
                  <c:v>1004</c:v>
                </c:pt>
                <c:pt idx="3">
                  <c:v>1082</c:v>
                </c:pt>
                <c:pt idx="4">
                  <c:v>1328</c:v>
                </c:pt>
                <c:pt idx="5">
                  <c:v>1410</c:v>
                </c:pt>
                <c:pt idx="6">
                  <c:v>1432</c:v>
                </c:pt>
                <c:pt idx="7">
                  <c:v>1454</c:v>
                </c:pt>
                <c:pt idx="8">
                  <c:v>1597</c:v>
                </c:pt>
                <c:pt idx="9">
                  <c:v>1741</c:v>
                </c:pt>
                <c:pt idx="10">
                  <c:v>1929</c:v>
                </c:pt>
                <c:pt idx="11">
                  <c:v>1956</c:v>
                </c:pt>
                <c:pt idx="12">
                  <c:v>2074</c:v>
                </c:pt>
                <c:pt idx="13">
                  <c:v>2308</c:v>
                </c:pt>
                <c:pt idx="14">
                  <c:v>2345</c:v>
                </c:pt>
                <c:pt idx="15">
                  <c:v>2630</c:v>
                </c:pt>
                <c:pt idx="16">
                  <c:v>2730</c:v>
                </c:pt>
                <c:pt idx="17">
                  <c:v>2753</c:v>
                </c:pt>
                <c:pt idx="18">
                  <c:v>3309</c:v>
                </c:pt>
                <c:pt idx="19">
                  <c:v>3479</c:v>
                </c:pt>
                <c:pt idx="20">
                  <c:v>3645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F6-4CD7-AD3E-E88E51C3A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5204992"/>
        <c:axId val="45206528"/>
      </c:barChart>
      <c:catAx>
        <c:axId val="452049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206528"/>
        <c:crosses val="autoZero"/>
        <c:auto val="1"/>
        <c:lblAlgn val="ctr"/>
        <c:lblOffset val="100"/>
        <c:noMultiLvlLbl val="0"/>
      </c:catAx>
      <c:valAx>
        <c:axId val="45206528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204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pow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.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12 m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-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cy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*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 (w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szczególnej syt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.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na rynku pracy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)</a:t>
            </a:r>
            <a:endParaRPr lang="en-US" sz="8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0608225946856062"/>
          <c:y val="2.80411159129296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'4sort'!$B$1</c:f>
              <c:strCache>
                <c:ptCount val="1"/>
                <c:pt idx="0">
                  <c:v>Liczba bezrobotnych powyżej 12 miesięcy* - w szczególnej sytuacji na rynku pracy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E6E-4E84-AD9E-6E14E79C3697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E6E-4E84-AD9E-6E14E79C3697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6E-4E84-AD9E-6E14E79C36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'4sort'!$C$4:$C$28</c:f>
              <c:strCache>
                <c:ptCount val="25"/>
                <c:pt idx="0">
                  <c:v>Krosno</c:v>
                </c:pt>
                <c:pt idx="1">
                  <c:v>Tarnobrzeg</c:v>
                </c:pt>
                <c:pt idx="2">
                  <c:v>bieszczadzki</c:v>
                </c:pt>
                <c:pt idx="3">
                  <c:v>tarnobrzeski </c:v>
                </c:pt>
                <c:pt idx="4">
                  <c:v>kolbuszowski</c:v>
                </c:pt>
                <c:pt idx="5">
                  <c:v>stalowowolski</c:v>
                </c:pt>
                <c:pt idx="6">
                  <c:v>lubaczowski</c:v>
                </c:pt>
                <c:pt idx="7">
                  <c:v>dębicki</c:v>
                </c:pt>
                <c:pt idx="8">
                  <c:v>krośnieński</c:v>
                </c:pt>
                <c:pt idx="9">
                  <c:v>leski</c:v>
                </c:pt>
                <c:pt idx="10">
                  <c:v>łańcucki</c:v>
                </c:pt>
                <c:pt idx="11">
                  <c:v>ropczycko-sędziszowski</c:v>
                </c:pt>
                <c:pt idx="12">
                  <c:v>mielecki</c:v>
                </c:pt>
                <c:pt idx="13">
                  <c:v>sanocki</c:v>
                </c:pt>
                <c:pt idx="14">
                  <c:v>Przemyśl</c:v>
                </c:pt>
                <c:pt idx="15">
                  <c:v>przemyski</c:v>
                </c:pt>
                <c:pt idx="16">
                  <c:v>niżański</c:v>
                </c:pt>
                <c:pt idx="17">
                  <c:v>leżajski</c:v>
                </c:pt>
                <c:pt idx="18">
                  <c:v>strzyżowski</c:v>
                </c:pt>
                <c:pt idx="19">
                  <c:v>przeworski</c:v>
                </c:pt>
                <c:pt idx="20">
                  <c:v>brzozowski</c:v>
                </c:pt>
                <c:pt idx="21">
                  <c:v>jarosławski</c:v>
                </c:pt>
                <c:pt idx="22">
                  <c:v>rzeszowski</c:v>
                </c:pt>
                <c:pt idx="23">
                  <c:v>jasielski</c:v>
                </c:pt>
                <c:pt idx="24">
                  <c:v>Rzeszów</c:v>
                </c:pt>
              </c:strCache>
            </c:strRef>
          </c:cat>
          <c:val>
            <c:numRef>
              <c:f>'4sort'!$D$4:$D$28</c:f>
              <c:numCache>
                <c:formatCode>#,##0</c:formatCode>
                <c:ptCount val="25"/>
                <c:pt idx="0" formatCode="General">
                  <c:v>336</c:v>
                </c:pt>
                <c:pt idx="1">
                  <c:v>554</c:v>
                </c:pt>
                <c:pt idx="2">
                  <c:v>605</c:v>
                </c:pt>
                <c:pt idx="3">
                  <c:v>633</c:v>
                </c:pt>
                <c:pt idx="4">
                  <c:v>728</c:v>
                </c:pt>
                <c:pt idx="5">
                  <c:v>791</c:v>
                </c:pt>
                <c:pt idx="6">
                  <c:v>878</c:v>
                </c:pt>
                <c:pt idx="7">
                  <c:v>980</c:v>
                </c:pt>
                <c:pt idx="8">
                  <c:v>1001</c:v>
                </c:pt>
                <c:pt idx="9">
                  <c:v>1081</c:v>
                </c:pt>
                <c:pt idx="10">
                  <c:v>1216</c:v>
                </c:pt>
                <c:pt idx="11">
                  <c:v>1324</c:v>
                </c:pt>
                <c:pt idx="12">
                  <c:v>1360</c:v>
                </c:pt>
                <c:pt idx="13">
                  <c:v>1466</c:v>
                </c:pt>
                <c:pt idx="14">
                  <c:v>1471</c:v>
                </c:pt>
                <c:pt idx="15">
                  <c:v>1640</c:v>
                </c:pt>
                <c:pt idx="16">
                  <c:v>1661</c:v>
                </c:pt>
                <c:pt idx="17">
                  <c:v>1694</c:v>
                </c:pt>
                <c:pt idx="18">
                  <c:v>1904</c:v>
                </c:pt>
                <c:pt idx="19">
                  <c:v>1925</c:v>
                </c:pt>
                <c:pt idx="20">
                  <c:v>2382</c:v>
                </c:pt>
                <c:pt idx="21">
                  <c:v>2465</c:v>
                </c:pt>
                <c:pt idx="22">
                  <c:v>2585</c:v>
                </c:pt>
                <c:pt idx="23">
                  <c:v>3010</c:v>
                </c:pt>
                <c:pt idx="24">
                  <c:v>3032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6E-4E84-AD9E-6E14E79C3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5280640"/>
        <c:axId val="134677632"/>
      </c:barChart>
      <c:catAx>
        <c:axId val="452806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4677632"/>
        <c:crosses val="autoZero"/>
        <c:auto val="1"/>
        <c:lblAlgn val="ctr"/>
        <c:lblOffset val="100"/>
        <c:noMultiLvlLbl val="0"/>
      </c:catAx>
      <c:valAx>
        <c:axId val="13467763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2806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do 30 roku życia (w szczególnej sytuacji na rynku pracy)</a:t>
            </a:r>
          </a:p>
        </c:rich>
      </c:tx>
      <c:layout>
        <c:manualLayout>
          <c:xMode val="edge"/>
          <c:yMode val="edge"/>
          <c:x val="0.21171269709515514"/>
          <c:y val="2.38905212643736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5120092694797425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'5sort'!$B$1</c:f>
              <c:strCache>
                <c:ptCount val="1"/>
                <c:pt idx="0">
                  <c:v>Liczba bezrobotnych do 30 roku życia - w szczególnej sytuacji na rynku pracy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F08-4446-B601-462C57B2D81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F08-4446-B601-462C57B2D81C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08-4446-B601-462C57B2D8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'5sort'!$C$4:$C$28</c:f>
              <c:strCache>
                <c:ptCount val="25"/>
                <c:pt idx="0">
                  <c:v>Krosno</c:v>
                </c:pt>
                <c:pt idx="1">
                  <c:v>Tarnobrzeg</c:v>
                </c:pt>
                <c:pt idx="2">
                  <c:v>bieszczadzki</c:v>
                </c:pt>
                <c:pt idx="3">
                  <c:v>tarnobrzeski </c:v>
                </c:pt>
                <c:pt idx="4">
                  <c:v>kolbuszowski</c:v>
                </c:pt>
                <c:pt idx="5">
                  <c:v>leski</c:v>
                </c:pt>
                <c:pt idx="6">
                  <c:v>Przemyśl</c:v>
                </c:pt>
                <c:pt idx="7">
                  <c:v>lubaczowski</c:v>
                </c:pt>
                <c:pt idx="8">
                  <c:v>stalowowolski</c:v>
                </c:pt>
                <c:pt idx="9">
                  <c:v>krośnieński</c:v>
                </c:pt>
                <c:pt idx="10">
                  <c:v>dębicki</c:v>
                </c:pt>
                <c:pt idx="11">
                  <c:v>sanocki</c:v>
                </c:pt>
                <c:pt idx="12">
                  <c:v>łańcucki</c:v>
                </c:pt>
                <c:pt idx="13">
                  <c:v>mielecki</c:v>
                </c:pt>
                <c:pt idx="14">
                  <c:v>niżański</c:v>
                </c:pt>
                <c:pt idx="15">
                  <c:v>przemyski</c:v>
                </c:pt>
                <c:pt idx="16">
                  <c:v>ropczycko-sędziszowski</c:v>
                </c:pt>
                <c:pt idx="17">
                  <c:v>strzyżowski</c:v>
                </c:pt>
                <c:pt idx="18">
                  <c:v>leżajski</c:v>
                </c:pt>
                <c:pt idx="19">
                  <c:v>przeworski</c:v>
                </c:pt>
                <c:pt idx="20">
                  <c:v>Rzeszów</c:v>
                </c:pt>
                <c:pt idx="21">
                  <c:v>brzozowski</c:v>
                </c:pt>
                <c:pt idx="22">
                  <c:v>jarosławski</c:v>
                </c:pt>
                <c:pt idx="23">
                  <c:v>rzeszowski</c:v>
                </c:pt>
                <c:pt idx="24">
                  <c:v>jasielski</c:v>
                </c:pt>
              </c:strCache>
            </c:strRef>
          </c:cat>
          <c:val>
            <c:numRef>
              <c:f>'5sort'!$D$4:$D$28</c:f>
              <c:numCache>
                <c:formatCode>#,##0</c:formatCode>
                <c:ptCount val="25"/>
                <c:pt idx="0" formatCode="General">
                  <c:v>170</c:v>
                </c:pt>
                <c:pt idx="1">
                  <c:v>219</c:v>
                </c:pt>
                <c:pt idx="2">
                  <c:v>268</c:v>
                </c:pt>
                <c:pt idx="3">
                  <c:v>323</c:v>
                </c:pt>
                <c:pt idx="4">
                  <c:v>409</c:v>
                </c:pt>
                <c:pt idx="5">
                  <c:v>414</c:v>
                </c:pt>
                <c:pt idx="6">
                  <c:v>424</c:v>
                </c:pt>
                <c:pt idx="7">
                  <c:v>454</c:v>
                </c:pt>
                <c:pt idx="8">
                  <c:v>530</c:v>
                </c:pt>
                <c:pt idx="9">
                  <c:v>605</c:v>
                </c:pt>
                <c:pt idx="10">
                  <c:v>698</c:v>
                </c:pt>
                <c:pt idx="11">
                  <c:v>719</c:v>
                </c:pt>
                <c:pt idx="12">
                  <c:v>724</c:v>
                </c:pt>
                <c:pt idx="13">
                  <c:v>725</c:v>
                </c:pt>
                <c:pt idx="14">
                  <c:v>769</c:v>
                </c:pt>
                <c:pt idx="15">
                  <c:v>774</c:v>
                </c:pt>
                <c:pt idx="16">
                  <c:v>806</c:v>
                </c:pt>
                <c:pt idx="17">
                  <c:v>821</c:v>
                </c:pt>
                <c:pt idx="18">
                  <c:v>860</c:v>
                </c:pt>
                <c:pt idx="19">
                  <c:v>869</c:v>
                </c:pt>
                <c:pt idx="20">
                  <c:v>919</c:v>
                </c:pt>
                <c:pt idx="21">
                  <c:v>924</c:v>
                </c:pt>
                <c:pt idx="22">
                  <c:v>1075</c:v>
                </c:pt>
                <c:pt idx="23">
                  <c:v>1225</c:v>
                </c:pt>
                <c:pt idx="24">
                  <c:v>1226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08-4446-B601-462C57B2D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4739840"/>
        <c:axId val="134741376"/>
      </c:barChart>
      <c:catAx>
        <c:axId val="134739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4741376"/>
        <c:crosses val="autoZero"/>
        <c:auto val="1"/>
        <c:lblAlgn val="ctr"/>
        <c:lblOffset val="100"/>
        <c:noMultiLvlLbl val="0"/>
      </c:catAx>
      <c:valAx>
        <c:axId val="134741376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4739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pow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.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50 roku życia 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(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w szczególnej sytuacji na rynku pracy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)</a:t>
            </a:r>
            <a:endParaRPr lang="en-US" sz="8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1622374139943246"/>
          <c:y val="1.08553164024688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'6sort'!$B$1</c:f>
              <c:strCache>
                <c:ptCount val="1"/>
                <c:pt idx="0">
                  <c:v>Liczba bezrobotnych powyżej 50 roku życia - w szczególnej sytuacji na rynku pracy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F13-48FD-9FD4-90757E06598B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F13-48FD-9FD4-90757E06598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'6sort'!$C$4:$C$28</c:f>
              <c:strCache>
                <c:ptCount val="25"/>
                <c:pt idx="0">
                  <c:v>Krosno</c:v>
                </c:pt>
                <c:pt idx="1">
                  <c:v>bieszczadzki</c:v>
                </c:pt>
                <c:pt idx="2">
                  <c:v>Tarnobrzeg</c:v>
                </c:pt>
                <c:pt idx="3">
                  <c:v>tarnobrzeski </c:v>
                </c:pt>
                <c:pt idx="4">
                  <c:v>leski</c:v>
                </c:pt>
                <c:pt idx="5">
                  <c:v>kolbuszowski</c:v>
                </c:pt>
                <c:pt idx="6">
                  <c:v>lubaczowski</c:v>
                </c:pt>
                <c:pt idx="7">
                  <c:v>stalowowolski</c:v>
                </c:pt>
                <c:pt idx="8">
                  <c:v>dębicki</c:v>
                </c:pt>
                <c:pt idx="9">
                  <c:v>łańcucki</c:v>
                </c:pt>
                <c:pt idx="10">
                  <c:v>krośnieński</c:v>
                </c:pt>
                <c:pt idx="11">
                  <c:v>ropczycko-sędziszowski</c:v>
                </c:pt>
                <c:pt idx="12">
                  <c:v>sanocki</c:v>
                </c:pt>
                <c:pt idx="13">
                  <c:v>przemyski</c:v>
                </c:pt>
                <c:pt idx="14">
                  <c:v>Przemyśl</c:v>
                </c:pt>
                <c:pt idx="15">
                  <c:v>niżański</c:v>
                </c:pt>
                <c:pt idx="16">
                  <c:v>przeworski</c:v>
                </c:pt>
                <c:pt idx="17">
                  <c:v>leżajski</c:v>
                </c:pt>
                <c:pt idx="18">
                  <c:v>strzyżowski</c:v>
                </c:pt>
                <c:pt idx="19">
                  <c:v>mielecki</c:v>
                </c:pt>
                <c:pt idx="20">
                  <c:v>brzozowski</c:v>
                </c:pt>
                <c:pt idx="21">
                  <c:v>jarosławski</c:v>
                </c:pt>
                <c:pt idx="22">
                  <c:v>jasielski</c:v>
                </c:pt>
                <c:pt idx="23">
                  <c:v>rzeszowski</c:v>
                </c:pt>
                <c:pt idx="24">
                  <c:v>Rzeszów</c:v>
                </c:pt>
              </c:strCache>
            </c:strRef>
          </c:cat>
          <c:val>
            <c:numRef>
              <c:f>'6sort'!$D$4:$D$28</c:f>
              <c:numCache>
                <c:formatCode>#,##0</c:formatCode>
                <c:ptCount val="25"/>
                <c:pt idx="0" formatCode="General">
                  <c:v>218</c:v>
                </c:pt>
                <c:pt idx="1">
                  <c:v>239</c:v>
                </c:pt>
                <c:pt idx="2">
                  <c:v>299</c:v>
                </c:pt>
                <c:pt idx="3">
                  <c:v>338</c:v>
                </c:pt>
                <c:pt idx="4">
                  <c:v>421</c:v>
                </c:pt>
                <c:pt idx="5">
                  <c:v>425</c:v>
                </c:pt>
                <c:pt idx="6">
                  <c:v>466</c:v>
                </c:pt>
                <c:pt idx="7">
                  <c:v>493</c:v>
                </c:pt>
                <c:pt idx="8">
                  <c:v>557</c:v>
                </c:pt>
                <c:pt idx="9">
                  <c:v>559</c:v>
                </c:pt>
                <c:pt idx="10">
                  <c:v>600</c:v>
                </c:pt>
                <c:pt idx="11">
                  <c:v>606</c:v>
                </c:pt>
                <c:pt idx="12">
                  <c:v>625</c:v>
                </c:pt>
                <c:pt idx="13">
                  <c:v>677</c:v>
                </c:pt>
                <c:pt idx="14">
                  <c:v>687</c:v>
                </c:pt>
                <c:pt idx="15">
                  <c:v>692</c:v>
                </c:pt>
                <c:pt idx="16">
                  <c:v>696</c:v>
                </c:pt>
                <c:pt idx="17">
                  <c:v>708</c:v>
                </c:pt>
                <c:pt idx="18">
                  <c:v>720</c:v>
                </c:pt>
                <c:pt idx="19">
                  <c:v>725</c:v>
                </c:pt>
                <c:pt idx="20">
                  <c:v>902</c:v>
                </c:pt>
                <c:pt idx="21">
                  <c:v>1058</c:v>
                </c:pt>
                <c:pt idx="22">
                  <c:v>1119</c:v>
                </c:pt>
                <c:pt idx="23">
                  <c:v>1129</c:v>
                </c:pt>
                <c:pt idx="24">
                  <c:v>1330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13-48FD-9FD4-90757E065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7716480"/>
        <c:axId val="137718016"/>
      </c:barChart>
      <c:catAx>
        <c:axId val="1377164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7718016"/>
        <c:crosses val="autoZero"/>
        <c:auto val="1"/>
        <c:lblAlgn val="ctr"/>
        <c:lblOffset val="100"/>
        <c:noMultiLvlLbl val="0"/>
      </c:catAx>
      <c:valAx>
        <c:axId val="137718016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7716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Oferty pracy (wolne miejsca pracy i miejsca aktywizacji zawodowej) wg powiatów</a:t>
            </a:r>
          </a:p>
        </c:rich>
      </c:tx>
      <c:layout>
        <c:manualLayout>
          <c:xMode val="edge"/>
          <c:yMode val="edge"/>
          <c:x val="0.21857800421632848"/>
          <c:y val="3.174369534939588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'7sort'!$B$1</c:f>
              <c:strCache>
                <c:ptCount val="1"/>
                <c:pt idx="0">
                  <c:v>Oferty pracy (wolne miejsca pracy i miejsca aktywizacji zawodowej) wg powiatów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4C5-4D00-A09D-0401A1EB00D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4C5-4D00-A09D-0401A1EB00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'7sort'!$C$4:$C$28</c:f>
              <c:strCache>
                <c:ptCount val="25"/>
                <c:pt idx="0">
                  <c:v>bieszczadzki</c:v>
                </c:pt>
                <c:pt idx="1">
                  <c:v>przemyski</c:v>
                </c:pt>
                <c:pt idx="2">
                  <c:v>niżański</c:v>
                </c:pt>
                <c:pt idx="3">
                  <c:v>Przemyśl</c:v>
                </c:pt>
                <c:pt idx="4">
                  <c:v>strzyżowski</c:v>
                </c:pt>
                <c:pt idx="5">
                  <c:v>leski</c:v>
                </c:pt>
                <c:pt idx="6">
                  <c:v>tarnobrzeski </c:v>
                </c:pt>
                <c:pt idx="7">
                  <c:v>sanocki</c:v>
                </c:pt>
                <c:pt idx="8">
                  <c:v>Tarnobrzeg</c:v>
                </c:pt>
                <c:pt idx="9">
                  <c:v>kolbuszowski</c:v>
                </c:pt>
                <c:pt idx="10">
                  <c:v>łańcucki</c:v>
                </c:pt>
                <c:pt idx="11">
                  <c:v>ropczycko-sędziszowski</c:v>
                </c:pt>
                <c:pt idx="12">
                  <c:v>brzozowski</c:v>
                </c:pt>
                <c:pt idx="13">
                  <c:v>lubaczowski</c:v>
                </c:pt>
                <c:pt idx="14">
                  <c:v>stalowowolski</c:v>
                </c:pt>
                <c:pt idx="15">
                  <c:v>krośnieński</c:v>
                </c:pt>
                <c:pt idx="16">
                  <c:v>Krosno</c:v>
                </c:pt>
                <c:pt idx="17">
                  <c:v>leżajski</c:v>
                </c:pt>
                <c:pt idx="18">
                  <c:v>przeworski</c:v>
                </c:pt>
                <c:pt idx="19">
                  <c:v>jarosławski</c:v>
                </c:pt>
                <c:pt idx="20">
                  <c:v>rzeszowski</c:v>
                </c:pt>
                <c:pt idx="21">
                  <c:v>jasielski</c:v>
                </c:pt>
                <c:pt idx="22">
                  <c:v>mielecki</c:v>
                </c:pt>
                <c:pt idx="23">
                  <c:v>dębicki</c:v>
                </c:pt>
                <c:pt idx="24">
                  <c:v>Rzeszów</c:v>
                </c:pt>
              </c:strCache>
            </c:strRef>
          </c:cat>
          <c:val>
            <c:numRef>
              <c:f>'7sort'!$D$4:$D$28</c:f>
              <c:numCache>
                <c:formatCode>#,##0</c:formatCode>
                <c:ptCount val="25"/>
                <c:pt idx="0" formatCode="General">
                  <c:v>23</c:v>
                </c:pt>
                <c:pt idx="1">
                  <c:v>46</c:v>
                </c:pt>
                <c:pt idx="2">
                  <c:v>47</c:v>
                </c:pt>
                <c:pt idx="3">
                  <c:v>54</c:v>
                </c:pt>
                <c:pt idx="4">
                  <c:v>58</c:v>
                </c:pt>
                <c:pt idx="5">
                  <c:v>68</c:v>
                </c:pt>
                <c:pt idx="6">
                  <c:v>69</c:v>
                </c:pt>
                <c:pt idx="7">
                  <c:v>78</c:v>
                </c:pt>
                <c:pt idx="8">
                  <c:v>82</c:v>
                </c:pt>
                <c:pt idx="9">
                  <c:v>91</c:v>
                </c:pt>
                <c:pt idx="10">
                  <c:v>93</c:v>
                </c:pt>
                <c:pt idx="11">
                  <c:v>94</c:v>
                </c:pt>
                <c:pt idx="12">
                  <c:v>96</c:v>
                </c:pt>
                <c:pt idx="13">
                  <c:v>100</c:v>
                </c:pt>
                <c:pt idx="14">
                  <c:v>130</c:v>
                </c:pt>
                <c:pt idx="15">
                  <c:v>131</c:v>
                </c:pt>
                <c:pt idx="16">
                  <c:v>141</c:v>
                </c:pt>
                <c:pt idx="17">
                  <c:v>165</c:v>
                </c:pt>
                <c:pt idx="18">
                  <c:v>167</c:v>
                </c:pt>
                <c:pt idx="19">
                  <c:v>181</c:v>
                </c:pt>
                <c:pt idx="20">
                  <c:v>231</c:v>
                </c:pt>
                <c:pt idx="21">
                  <c:v>254</c:v>
                </c:pt>
                <c:pt idx="22">
                  <c:v>299</c:v>
                </c:pt>
                <c:pt idx="23">
                  <c:v>339</c:v>
                </c:pt>
                <c:pt idx="24">
                  <c:v>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C5-4D00-A09D-0401A1EB0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8157440"/>
        <c:axId val="138183808"/>
      </c:barChart>
      <c:catAx>
        <c:axId val="1381574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183808"/>
        <c:crosses val="autoZero"/>
        <c:auto val="1"/>
        <c:lblAlgn val="ctr"/>
        <c:lblOffset val="100"/>
        <c:noMultiLvlLbl val="0"/>
      </c:catAx>
      <c:valAx>
        <c:axId val="138183808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1574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Oferty pracy subsydiowanej (subsydiowane wolne miejsca pracy i miejsca aktywizacji zawodowej) wg powiatów</a:t>
            </a:r>
          </a:p>
        </c:rich>
      </c:tx>
      <c:layout>
        <c:manualLayout>
          <c:xMode val="edge"/>
          <c:yMode val="edge"/>
          <c:x val="0.19857511688579463"/>
          <c:y val="2.105109033321224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'8sort'!$B$1</c:f>
              <c:strCache>
                <c:ptCount val="1"/>
                <c:pt idx="0">
                  <c:v>Oferty pracy subsydiowanej (subsydiowane wolne miejsca pracy i miejsca aktywizacji zawodowej) wg powiatów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843-47F9-BA64-A416F5B18192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843-47F9-BA64-A416F5B1819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'8sort'!$C$4:$C$28</c:f>
              <c:strCache>
                <c:ptCount val="25"/>
                <c:pt idx="0">
                  <c:v>bieszczadzki</c:v>
                </c:pt>
                <c:pt idx="1">
                  <c:v>Krosno</c:v>
                </c:pt>
                <c:pt idx="2">
                  <c:v>strzyżowski</c:v>
                </c:pt>
                <c:pt idx="3">
                  <c:v>niżański</c:v>
                </c:pt>
                <c:pt idx="4">
                  <c:v>leski</c:v>
                </c:pt>
                <c:pt idx="5">
                  <c:v>tarnobrzeski </c:v>
                </c:pt>
                <c:pt idx="6">
                  <c:v>krośnieński</c:v>
                </c:pt>
                <c:pt idx="7">
                  <c:v>Przemyśl</c:v>
                </c:pt>
                <c:pt idx="8">
                  <c:v>dębicki</c:v>
                </c:pt>
                <c:pt idx="9">
                  <c:v>przemyski</c:v>
                </c:pt>
                <c:pt idx="10">
                  <c:v>Tarnobrzeg</c:v>
                </c:pt>
                <c:pt idx="11">
                  <c:v>ropczycko-sędziszowski</c:v>
                </c:pt>
                <c:pt idx="12">
                  <c:v>kolbuszowski</c:v>
                </c:pt>
                <c:pt idx="13">
                  <c:v>łańcucki</c:v>
                </c:pt>
                <c:pt idx="14">
                  <c:v>przeworski</c:v>
                </c:pt>
                <c:pt idx="15">
                  <c:v>lubaczowski</c:v>
                </c:pt>
                <c:pt idx="16">
                  <c:v>stalowowolski</c:v>
                </c:pt>
                <c:pt idx="17">
                  <c:v>sanocki</c:v>
                </c:pt>
                <c:pt idx="18">
                  <c:v>leżajski</c:v>
                </c:pt>
                <c:pt idx="19">
                  <c:v>mielecki</c:v>
                </c:pt>
                <c:pt idx="20">
                  <c:v>brzozowski</c:v>
                </c:pt>
                <c:pt idx="21">
                  <c:v>jarosławski</c:v>
                </c:pt>
                <c:pt idx="22">
                  <c:v>rzeszowski</c:v>
                </c:pt>
                <c:pt idx="23">
                  <c:v>jasielski</c:v>
                </c:pt>
                <c:pt idx="24">
                  <c:v>Rzeszów</c:v>
                </c:pt>
              </c:strCache>
            </c:strRef>
          </c:cat>
          <c:val>
            <c:numRef>
              <c:f>'8sort'!$D$4:$D$28</c:f>
              <c:numCache>
                <c:formatCode>#,##0</c:formatCode>
                <c:ptCount val="25"/>
                <c:pt idx="0" formatCode="General">
                  <c:v>11</c:v>
                </c:pt>
                <c:pt idx="1">
                  <c:v>23</c:v>
                </c:pt>
                <c:pt idx="2">
                  <c:v>24</c:v>
                </c:pt>
                <c:pt idx="3">
                  <c:v>27</c:v>
                </c:pt>
                <c:pt idx="4">
                  <c:v>30</c:v>
                </c:pt>
                <c:pt idx="5">
                  <c:v>30</c:v>
                </c:pt>
                <c:pt idx="6">
                  <c:v>31</c:v>
                </c:pt>
                <c:pt idx="7">
                  <c:v>34</c:v>
                </c:pt>
                <c:pt idx="8">
                  <c:v>40</c:v>
                </c:pt>
                <c:pt idx="9">
                  <c:v>41</c:v>
                </c:pt>
                <c:pt idx="10">
                  <c:v>41</c:v>
                </c:pt>
                <c:pt idx="11">
                  <c:v>47</c:v>
                </c:pt>
                <c:pt idx="12">
                  <c:v>51</c:v>
                </c:pt>
                <c:pt idx="13">
                  <c:v>56</c:v>
                </c:pt>
                <c:pt idx="14">
                  <c:v>59</c:v>
                </c:pt>
                <c:pt idx="15">
                  <c:v>60</c:v>
                </c:pt>
                <c:pt idx="16">
                  <c:v>60</c:v>
                </c:pt>
                <c:pt idx="17">
                  <c:v>62</c:v>
                </c:pt>
                <c:pt idx="18">
                  <c:v>64</c:v>
                </c:pt>
                <c:pt idx="19">
                  <c:v>74</c:v>
                </c:pt>
                <c:pt idx="20">
                  <c:v>89</c:v>
                </c:pt>
                <c:pt idx="21">
                  <c:v>98</c:v>
                </c:pt>
                <c:pt idx="22">
                  <c:v>101</c:v>
                </c:pt>
                <c:pt idx="23">
                  <c:v>107</c:v>
                </c:pt>
                <c:pt idx="24">
                  <c:v>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43-47F9-BA64-A416F5B18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8471296"/>
        <c:axId val="138472832"/>
      </c:barChart>
      <c:catAx>
        <c:axId val="1384712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2832"/>
        <c:crosses val="autoZero"/>
        <c:auto val="1"/>
        <c:lblAlgn val="ctr"/>
        <c:lblOffset val="100"/>
        <c:noMultiLvlLbl val="0"/>
      </c:catAx>
      <c:valAx>
        <c:axId val="13847283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1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1080521</xdr:colOff>
      <xdr:row>1</xdr:row>
      <xdr:rowOff>175041</xdr:rowOff>
    </xdr:from>
    <xdr:to>
      <xdr:col>19</xdr:col>
      <xdr:colOff>142874</xdr:colOff>
      <xdr:row>19</xdr:row>
      <xdr:rowOff>39121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47626</xdr:colOff>
      <xdr:row>19</xdr:row>
      <xdr:rowOff>95247</xdr:rowOff>
    </xdr:from>
    <xdr:to>
      <xdr:col>19</xdr:col>
      <xdr:colOff>51028</xdr:colOff>
      <xdr:row>41</xdr:row>
      <xdr:rowOff>119059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258333D5-9A66-40F4-8741-A9108079F7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369095</xdr:colOff>
      <xdr:row>1</xdr:row>
      <xdr:rowOff>47624</xdr:rowOff>
    </xdr:from>
    <xdr:to>
      <xdr:col>3</xdr:col>
      <xdr:colOff>597696</xdr:colOff>
      <xdr:row>1</xdr:row>
      <xdr:rowOff>161924</xdr:rowOff>
    </xdr:to>
    <xdr:sp macro="" textlink="">
      <xdr:nvSpPr>
        <xdr:cNvPr id="8" name="Schemat blokowy: scalanie 7">
          <a:extLst>
            <a:ext uri="{FF2B5EF4-FFF2-40B4-BE49-F238E27FC236}">
              <a16:creationId xmlns:a16="http://schemas.microsoft.com/office/drawing/2014/main" id="{9D25CEBA-8D03-4A3D-84C3-8BA295C2D2AC}"/>
            </a:ext>
          </a:extLst>
        </xdr:cNvPr>
        <xdr:cNvSpPr/>
      </xdr:nvSpPr>
      <xdr:spPr>
        <a:xfrm>
          <a:off x="2619376" y="226218"/>
          <a:ext cx="228601" cy="11430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3" name="Schemat blokowy: scalani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2285999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39689</xdr:colOff>
      <xdr:row>1</xdr:row>
      <xdr:rowOff>61384</xdr:rowOff>
    </xdr:from>
    <xdr:to>
      <xdr:col>18</xdr:col>
      <xdr:colOff>137584</xdr:colOff>
      <xdr:row>23</xdr:row>
      <xdr:rowOff>35719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296862</xdr:colOff>
      <xdr:row>1</xdr:row>
      <xdr:rowOff>134142</xdr:rowOff>
    </xdr:from>
    <xdr:to>
      <xdr:col>19</xdr:col>
      <xdr:colOff>202406</xdr:colOff>
      <xdr:row>21</xdr:row>
      <xdr:rowOff>23812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195792</xdr:colOff>
      <xdr:row>1</xdr:row>
      <xdr:rowOff>9261</xdr:rowOff>
    </xdr:from>
    <xdr:to>
      <xdr:col>19</xdr:col>
      <xdr:colOff>7936</xdr:colOff>
      <xdr:row>18</xdr:row>
      <xdr:rowOff>107156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107951</xdr:colOff>
      <xdr:row>1</xdr:row>
      <xdr:rowOff>20108</xdr:rowOff>
    </xdr:from>
    <xdr:to>
      <xdr:col>18</xdr:col>
      <xdr:colOff>296334</xdr:colOff>
      <xdr:row>18</xdr:row>
      <xdr:rowOff>166687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1016000</xdr:colOff>
      <xdr:row>1</xdr:row>
      <xdr:rowOff>184149</xdr:rowOff>
    </xdr:from>
    <xdr:to>
      <xdr:col>20</xdr:col>
      <xdr:colOff>1588</xdr:colOff>
      <xdr:row>20</xdr:row>
      <xdr:rowOff>83343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1045633</xdr:colOff>
      <xdr:row>2</xdr:row>
      <xdr:rowOff>4234</xdr:rowOff>
    </xdr:from>
    <xdr:to>
      <xdr:col>19</xdr:col>
      <xdr:colOff>15876</xdr:colOff>
      <xdr:row>21</xdr:row>
      <xdr:rowOff>59531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1024467</xdr:colOff>
      <xdr:row>2</xdr:row>
      <xdr:rowOff>49742</xdr:rowOff>
    </xdr:from>
    <xdr:to>
      <xdr:col>19</xdr:col>
      <xdr:colOff>135468</xdr:colOff>
      <xdr:row>19</xdr:row>
      <xdr:rowOff>85726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516A7468-C1FD-4298-8E7C-C0BD29F96BC7}"/>
            </a:ext>
          </a:extLst>
        </xdr:cNvPr>
        <xdr:cNvSpPr/>
      </xdr:nvSpPr>
      <xdr:spPr>
        <a:xfrm>
          <a:off x="2714624" y="314325"/>
          <a:ext cx="228601" cy="11430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1131623</xdr:colOff>
      <xdr:row>2</xdr:row>
      <xdr:rowOff>37835</xdr:rowOff>
    </xdr:from>
    <xdr:to>
      <xdr:col>19</xdr:col>
      <xdr:colOff>242624</xdr:colOff>
      <xdr:row>19</xdr:row>
      <xdr:rowOff>73819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7EF57E43-C5FB-4B72-BA24-C746B8A7AD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D700"/>
    <pageSetUpPr fitToPage="1"/>
  </sheetPr>
  <dimension ref="B1:G29"/>
  <sheetViews>
    <sheetView tabSelected="1" zoomScale="80" zoomScaleNormal="8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24.5703125" style="3" customWidth="1"/>
    <col min="3" max="3" width="15.85546875" style="3" customWidth="1"/>
    <col min="4" max="4" width="15.28515625" style="3" customWidth="1"/>
    <col min="5" max="5" width="15.140625" style="3" customWidth="1"/>
    <col min="6" max="6" width="16" style="3" customWidth="1"/>
    <col min="7" max="7" width="16.5703125" style="3" customWidth="1"/>
    <col min="8" max="8" width="6.28515625" style="3" customWidth="1"/>
    <col min="9" max="13" width="0" style="3" hidden="1" customWidth="1"/>
    <col min="14" max="16384" width="9.140625" style="3"/>
  </cols>
  <sheetData>
    <row r="1" spans="2:7" ht="17.25" customHeight="1" x14ac:dyDescent="0.2">
      <c r="B1" s="1" t="s">
        <v>32</v>
      </c>
      <c r="C1" s="18"/>
      <c r="D1" s="18"/>
      <c r="E1" s="18"/>
      <c r="F1" s="18"/>
      <c r="G1" s="18"/>
    </row>
    <row r="2" spans="2:7" ht="58.5" x14ac:dyDescent="0.2">
      <c r="B2" s="36" t="s">
        <v>27</v>
      </c>
      <c r="C2" s="37" t="s">
        <v>78</v>
      </c>
      <c r="D2" s="38" t="s">
        <v>77</v>
      </c>
      <c r="E2" s="37" t="s">
        <v>33</v>
      </c>
      <c r="F2" s="38" t="s">
        <v>76</v>
      </c>
      <c r="G2" s="37" t="s">
        <v>26</v>
      </c>
    </row>
    <row r="3" spans="2:7" x14ac:dyDescent="0.2">
      <c r="B3" s="5" t="s">
        <v>0</v>
      </c>
      <c r="C3" s="6">
        <v>1039</v>
      </c>
      <c r="D3" s="42">
        <v>1082</v>
      </c>
      <c r="E3" s="6">
        <f>SUM(C3)-D3</f>
        <v>-43</v>
      </c>
      <c r="F3" s="42">
        <v>1091</v>
      </c>
      <c r="G3" s="6">
        <f>SUM(C3)-F3</f>
        <v>-52</v>
      </c>
    </row>
    <row r="4" spans="2:7" x14ac:dyDescent="0.2">
      <c r="B4" s="5" t="s">
        <v>1</v>
      </c>
      <c r="C4" s="6">
        <v>3585</v>
      </c>
      <c r="D4" s="42">
        <v>3778</v>
      </c>
      <c r="E4" s="6">
        <f t="shared" ref="E4:E27" si="0">SUM(C4)-D4</f>
        <v>-193</v>
      </c>
      <c r="F4" s="42">
        <v>3809</v>
      </c>
      <c r="G4" s="6">
        <f t="shared" ref="G4:G27" si="1">SUM(C4)-F4</f>
        <v>-224</v>
      </c>
    </row>
    <row r="5" spans="2:7" x14ac:dyDescent="0.2">
      <c r="B5" s="5" t="s">
        <v>2</v>
      </c>
      <c r="C5" s="6">
        <v>2394</v>
      </c>
      <c r="D5" s="42">
        <v>2517</v>
      </c>
      <c r="E5" s="6">
        <f t="shared" si="0"/>
        <v>-123</v>
      </c>
      <c r="F5" s="42">
        <v>2452</v>
      </c>
      <c r="G5" s="6">
        <f t="shared" si="1"/>
        <v>-58</v>
      </c>
    </row>
    <row r="6" spans="2:7" x14ac:dyDescent="0.2">
      <c r="B6" s="5" t="s">
        <v>3</v>
      </c>
      <c r="C6" s="6">
        <v>4276</v>
      </c>
      <c r="D6" s="42">
        <v>4469</v>
      </c>
      <c r="E6" s="6">
        <f t="shared" si="0"/>
        <v>-193</v>
      </c>
      <c r="F6" s="42">
        <v>4555</v>
      </c>
      <c r="G6" s="6">
        <f t="shared" si="1"/>
        <v>-279</v>
      </c>
    </row>
    <row r="7" spans="2:7" x14ac:dyDescent="0.2">
      <c r="B7" s="5" t="s">
        <v>4</v>
      </c>
      <c r="C7" s="6">
        <v>4902</v>
      </c>
      <c r="D7" s="42">
        <v>5146</v>
      </c>
      <c r="E7" s="6">
        <f t="shared" si="0"/>
        <v>-244</v>
      </c>
      <c r="F7" s="42">
        <v>4936</v>
      </c>
      <c r="G7" s="6">
        <f t="shared" si="1"/>
        <v>-34</v>
      </c>
    </row>
    <row r="8" spans="2:7" x14ac:dyDescent="0.2">
      <c r="B8" s="5" t="s">
        <v>5</v>
      </c>
      <c r="C8" s="6">
        <v>1525</v>
      </c>
      <c r="D8" s="42">
        <v>1571</v>
      </c>
      <c r="E8" s="6">
        <f t="shared" si="0"/>
        <v>-46</v>
      </c>
      <c r="F8" s="42">
        <v>1617</v>
      </c>
      <c r="G8" s="6">
        <f t="shared" si="1"/>
        <v>-92</v>
      </c>
    </row>
    <row r="9" spans="2:7" x14ac:dyDescent="0.2">
      <c r="B9" s="9" t="s">
        <v>6</v>
      </c>
      <c r="C9" s="6">
        <v>2316</v>
      </c>
      <c r="D9" s="42">
        <v>2407</v>
      </c>
      <c r="E9" s="6">
        <f t="shared" si="0"/>
        <v>-91</v>
      </c>
      <c r="F9" s="42">
        <v>2194</v>
      </c>
      <c r="G9" s="6">
        <f t="shared" si="1"/>
        <v>122</v>
      </c>
    </row>
    <row r="10" spans="2:7" x14ac:dyDescent="0.2">
      <c r="B10" s="5" t="s">
        <v>7</v>
      </c>
      <c r="C10" s="6">
        <v>1676</v>
      </c>
      <c r="D10" s="42">
        <v>1733</v>
      </c>
      <c r="E10" s="6">
        <f t="shared" si="0"/>
        <v>-57</v>
      </c>
      <c r="F10" s="42">
        <v>1756</v>
      </c>
      <c r="G10" s="6">
        <f t="shared" si="1"/>
        <v>-80</v>
      </c>
    </row>
    <row r="11" spans="2:7" x14ac:dyDescent="0.2">
      <c r="B11" s="5" t="s">
        <v>8</v>
      </c>
      <c r="C11" s="6">
        <v>3042</v>
      </c>
      <c r="D11" s="42">
        <v>3128</v>
      </c>
      <c r="E11" s="6">
        <f t="shared" si="0"/>
        <v>-86</v>
      </c>
      <c r="F11" s="42">
        <v>3181</v>
      </c>
      <c r="G11" s="6">
        <f t="shared" si="1"/>
        <v>-139</v>
      </c>
    </row>
    <row r="12" spans="2:7" x14ac:dyDescent="0.2">
      <c r="B12" s="5" t="s">
        <v>9</v>
      </c>
      <c r="C12" s="6">
        <v>1656</v>
      </c>
      <c r="D12" s="42">
        <v>1769</v>
      </c>
      <c r="E12" s="6">
        <f t="shared" si="0"/>
        <v>-113</v>
      </c>
      <c r="F12" s="42">
        <v>1771</v>
      </c>
      <c r="G12" s="6">
        <f t="shared" si="1"/>
        <v>-115</v>
      </c>
    </row>
    <row r="13" spans="2:7" x14ac:dyDescent="0.2">
      <c r="B13" s="5" t="s">
        <v>10</v>
      </c>
      <c r="C13" s="6">
        <v>2501</v>
      </c>
      <c r="D13" s="42">
        <v>2611</v>
      </c>
      <c r="E13" s="6">
        <f t="shared" si="0"/>
        <v>-110</v>
      </c>
      <c r="F13" s="42">
        <v>2601</v>
      </c>
      <c r="G13" s="6">
        <f t="shared" si="1"/>
        <v>-100</v>
      </c>
    </row>
    <row r="14" spans="2:7" x14ac:dyDescent="0.2">
      <c r="B14" s="5" t="s">
        <v>11</v>
      </c>
      <c r="C14" s="6">
        <v>2872</v>
      </c>
      <c r="D14" s="42">
        <v>2948</v>
      </c>
      <c r="E14" s="6">
        <f t="shared" si="0"/>
        <v>-76</v>
      </c>
      <c r="F14" s="42">
        <v>2740</v>
      </c>
      <c r="G14" s="6">
        <f t="shared" si="1"/>
        <v>132</v>
      </c>
    </row>
    <row r="15" spans="2:7" x14ac:dyDescent="0.2">
      <c r="B15" s="5" t="s">
        <v>12</v>
      </c>
      <c r="C15" s="6">
        <v>2937</v>
      </c>
      <c r="D15" s="42">
        <v>2984</v>
      </c>
      <c r="E15" s="6">
        <f t="shared" si="0"/>
        <v>-47</v>
      </c>
      <c r="F15" s="42">
        <v>3105</v>
      </c>
      <c r="G15" s="6">
        <f t="shared" si="1"/>
        <v>-168</v>
      </c>
    </row>
    <row r="16" spans="2:7" x14ac:dyDescent="0.2">
      <c r="B16" s="5" t="s">
        <v>13</v>
      </c>
      <c r="C16" s="6">
        <v>2792</v>
      </c>
      <c r="D16" s="42">
        <v>2935</v>
      </c>
      <c r="E16" s="6">
        <f t="shared" si="0"/>
        <v>-143</v>
      </c>
      <c r="F16" s="42">
        <v>2947</v>
      </c>
      <c r="G16" s="6">
        <f t="shared" si="1"/>
        <v>-155</v>
      </c>
    </row>
    <row r="17" spans="2:7" x14ac:dyDescent="0.2">
      <c r="B17" s="5" t="s">
        <v>14</v>
      </c>
      <c r="C17" s="6">
        <v>3160</v>
      </c>
      <c r="D17" s="42">
        <v>3199</v>
      </c>
      <c r="E17" s="6">
        <f t="shared" si="0"/>
        <v>-39</v>
      </c>
      <c r="F17" s="42">
        <v>3492</v>
      </c>
      <c r="G17" s="6">
        <f t="shared" si="1"/>
        <v>-332</v>
      </c>
    </row>
    <row r="18" spans="2:7" x14ac:dyDescent="0.2">
      <c r="B18" s="5" t="s">
        <v>15</v>
      </c>
      <c r="C18" s="6">
        <v>2695</v>
      </c>
      <c r="D18" s="42">
        <v>2609</v>
      </c>
      <c r="E18" s="6">
        <f t="shared" si="0"/>
        <v>86</v>
      </c>
      <c r="F18" s="42">
        <v>2652</v>
      </c>
      <c r="G18" s="6">
        <f t="shared" si="1"/>
        <v>43</v>
      </c>
    </row>
    <row r="19" spans="2:7" x14ac:dyDescent="0.2">
      <c r="B19" s="5" t="s">
        <v>16</v>
      </c>
      <c r="C19" s="6">
        <v>4604</v>
      </c>
      <c r="D19" s="42">
        <v>4709</v>
      </c>
      <c r="E19" s="6">
        <f t="shared" si="0"/>
        <v>-105</v>
      </c>
      <c r="F19" s="42">
        <v>4842</v>
      </c>
      <c r="G19" s="6">
        <f t="shared" si="1"/>
        <v>-238</v>
      </c>
    </row>
    <row r="20" spans="2:7" x14ac:dyDescent="0.2">
      <c r="B20" s="5" t="s">
        <v>17</v>
      </c>
      <c r="C20" s="6">
        <v>2728</v>
      </c>
      <c r="D20" s="42">
        <v>2883</v>
      </c>
      <c r="E20" s="6">
        <f t="shared" si="0"/>
        <v>-155</v>
      </c>
      <c r="F20" s="42">
        <v>2757</v>
      </c>
      <c r="G20" s="6">
        <f t="shared" si="1"/>
        <v>-29</v>
      </c>
    </row>
    <row r="21" spans="2:7" x14ac:dyDescent="0.2">
      <c r="B21" s="5" t="s">
        <v>18</v>
      </c>
      <c r="C21" s="6">
        <v>1959</v>
      </c>
      <c r="D21" s="42">
        <v>2023</v>
      </c>
      <c r="E21" s="6">
        <f t="shared" si="0"/>
        <v>-64</v>
      </c>
      <c r="F21" s="42">
        <v>1971</v>
      </c>
      <c r="G21" s="6">
        <f t="shared" si="1"/>
        <v>-12</v>
      </c>
    </row>
    <row r="22" spans="2:7" x14ac:dyDescent="0.2">
      <c r="B22" s="5" t="s">
        <v>19</v>
      </c>
      <c r="C22" s="6">
        <v>3059</v>
      </c>
      <c r="D22" s="42">
        <v>3133</v>
      </c>
      <c r="E22" s="6">
        <f t="shared" si="0"/>
        <v>-74</v>
      </c>
      <c r="F22" s="42">
        <v>3195</v>
      </c>
      <c r="G22" s="6">
        <f t="shared" si="1"/>
        <v>-136</v>
      </c>
    </row>
    <row r="23" spans="2:7" x14ac:dyDescent="0.2">
      <c r="B23" s="5" t="s">
        <v>20</v>
      </c>
      <c r="C23" s="6">
        <v>1228</v>
      </c>
      <c r="D23" s="42">
        <v>1298</v>
      </c>
      <c r="E23" s="6">
        <f t="shared" si="0"/>
        <v>-70</v>
      </c>
      <c r="F23" s="42">
        <v>1291</v>
      </c>
      <c r="G23" s="6">
        <f t="shared" si="1"/>
        <v>-63</v>
      </c>
    </row>
    <row r="24" spans="2:7" x14ac:dyDescent="0.2">
      <c r="B24" s="5" t="s">
        <v>21</v>
      </c>
      <c r="C24" s="6">
        <v>862</v>
      </c>
      <c r="D24" s="42">
        <v>875</v>
      </c>
      <c r="E24" s="6">
        <f t="shared" si="0"/>
        <v>-13</v>
      </c>
      <c r="F24" s="42">
        <v>755</v>
      </c>
      <c r="G24" s="6">
        <f t="shared" si="1"/>
        <v>107</v>
      </c>
    </row>
    <row r="25" spans="2:7" x14ac:dyDescent="0.2">
      <c r="B25" s="5" t="s">
        <v>22</v>
      </c>
      <c r="C25" s="6">
        <v>2314</v>
      </c>
      <c r="D25" s="42">
        <v>2357</v>
      </c>
      <c r="E25" s="6">
        <f t="shared" si="0"/>
        <v>-43</v>
      </c>
      <c r="F25" s="42">
        <v>2492</v>
      </c>
      <c r="G25" s="6">
        <f t="shared" si="1"/>
        <v>-178</v>
      </c>
    </row>
    <row r="26" spans="2:7" x14ac:dyDescent="0.2">
      <c r="B26" s="5" t="s">
        <v>23</v>
      </c>
      <c r="C26" s="6">
        <v>5039</v>
      </c>
      <c r="D26" s="42">
        <v>5114</v>
      </c>
      <c r="E26" s="6">
        <f t="shared" si="0"/>
        <v>-75</v>
      </c>
      <c r="F26" s="42">
        <v>5482</v>
      </c>
      <c r="G26" s="6">
        <f t="shared" si="1"/>
        <v>-443</v>
      </c>
    </row>
    <row r="27" spans="2:7" x14ac:dyDescent="0.2">
      <c r="B27" s="5" t="s">
        <v>24</v>
      </c>
      <c r="C27" s="6">
        <v>1086</v>
      </c>
      <c r="D27" s="42">
        <v>1121</v>
      </c>
      <c r="E27" s="6">
        <f t="shared" si="0"/>
        <v>-35</v>
      </c>
      <c r="F27" s="42">
        <v>1107</v>
      </c>
      <c r="G27" s="6">
        <f t="shared" si="1"/>
        <v>-21</v>
      </c>
    </row>
    <row r="28" spans="2:7" ht="15" x14ac:dyDescent="0.25">
      <c r="B28" s="39" t="s">
        <v>25</v>
      </c>
      <c r="C28" s="40">
        <f>SUM(C3:C27)</f>
        <v>66247</v>
      </c>
      <c r="D28" s="41">
        <f>SUM(D3:D27)</f>
        <v>68399</v>
      </c>
      <c r="E28" s="40">
        <f>SUM(C28)-D28</f>
        <v>-2152</v>
      </c>
      <c r="F28" s="41">
        <f>SUM(F3:F27)</f>
        <v>68791</v>
      </c>
      <c r="G28" s="40">
        <f>SUM(C28)-F28</f>
        <v>-2544</v>
      </c>
    </row>
    <row r="29" spans="2:7" x14ac:dyDescent="0.2">
      <c r="E29" s="19"/>
      <c r="F29" s="19"/>
      <c r="G29" s="19"/>
    </row>
  </sheetData>
  <printOptions horizontalCentered="1" verticalCentered="1"/>
  <pageMargins left="0" right="0" top="0.31496062992125984" bottom="0.31496062992125984" header="0" footer="0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" style="3" customWidth="1"/>
    <col min="2" max="2" width="6.5703125" style="3" customWidth="1"/>
    <col min="3" max="3" width="23.85546875" style="3" customWidth="1"/>
    <col min="4" max="4" width="14" style="3" customWidth="1"/>
    <col min="5" max="5" width="13.5703125" style="3" customWidth="1"/>
    <col min="6" max="6" width="15.85546875" style="3" customWidth="1"/>
    <col min="7" max="7" width="14.28515625" style="3" customWidth="1"/>
    <col min="8" max="8" width="17.5703125" style="3" customWidth="1"/>
    <col min="9" max="9" width="5.5703125" style="3" customWidth="1"/>
    <col min="10" max="10" width="7.5703125" style="3" customWidth="1"/>
    <col min="11" max="18" width="9.140625" style="3"/>
    <col min="19" max="19" width="6.85546875" style="3" customWidth="1"/>
    <col min="20" max="20" width="2.5703125" style="3" customWidth="1"/>
    <col min="21" max="16384" width="9.140625" style="3"/>
  </cols>
  <sheetData>
    <row r="1" spans="2:8" x14ac:dyDescent="0.2">
      <c r="B1" s="2" t="s">
        <v>37</v>
      </c>
    </row>
    <row r="2" spans="2:8" ht="15" x14ac:dyDescent="0.2">
      <c r="C2" s="20"/>
      <c r="D2" s="21"/>
    </row>
    <row r="3" spans="2:8" ht="71.25" x14ac:dyDescent="0.2">
      <c r="B3" s="43" t="s">
        <v>42</v>
      </c>
      <c r="C3" s="36" t="str">
        <f>T('5do 30 r.ż.'!B2)</f>
        <v>powiaty</v>
      </c>
      <c r="D3" s="36" t="str">
        <f>T('5do 30 r.ż.'!C2)</f>
        <v>liczba bezrobotnych do 30 r. ż. stan na 30-04-'24 r.</v>
      </c>
      <c r="E3" s="36" t="str">
        <f>T('5do 30 r.ż.'!D2)</f>
        <v>liczba bezrobotnych do 30 r. ż. stan na 31-03-'24 r.</v>
      </c>
      <c r="F3" s="36" t="str">
        <f>T('5do 30 r.ż.'!E2)</f>
        <v>wzrost/spadek do poprzedniego  miesiąca</v>
      </c>
      <c r="G3" s="36" t="str">
        <f>T('5do 30 r.ż.'!F2)</f>
        <v>liczba bezrobotnych do 30 r. ż. stan na 30-04-'23 r.</v>
      </c>
      <c r="H3" s="36" t="str">
        <f>T('5do 30 r.ż.'!G2)</f>
        <v>wzrost/spadek do analogicznego okresu ubr.</v>
      </c>
    </row>
    <row r="4" spans="2:8" x14ac:dyDescent="0.2">
      <c r="B4" s="6">
        <f>RANK('5do 30 r.ż.'!C3,'5do 30 r.ż.'!$C$3:'5do 30 r.ż.'!$C$28,1)+COUNTIF('5do 30 r.ż.'!$C$3:'5do 30 r.ż.'!C3,'5do 30 r.ż.'!C3)-1</f>
        <v>3</v>
      </c>
      <c r="C4" s="5" t="str">
        <f>INDEX('5do 30 r.ż.'!B3:G28,MATCH(1,B4:B29,0),1)</f>
        <v>Krosno</v>
      </c>
      <c r="D4" s="24">
        <f>INDEX('5do 30 r.ż.'!B3:G28,MATCH(1,B4:B29,0),2)</f>
        <v>170</v>
      </c>
      <c r="E4" s="42">
        <f>INDEX('5do 30 r.ż.'!B3:G28,MATCH(1,B4:B29,0),3)</f>
        <v>180</v>
      </c>
      <c r="F4" s="6">
        <f>INDEX('5do 30 r.ż.'!B3:G28,MATCH(1,B4:B29,0),4)</f>
        <v>-10</v>
      </c>
      <c r="G4" s="42">
        <f>INDEX('5do 30 r.ż.'!B3:G28,MATCH(1,B4:B29,0),5)</f>
        <v>141</v>
      </c>
      <c r="H4" s="6">
        <f>INDEX('5do 30 r.ż.'!B3:G28,MATCH(1,B4:B29,0),6)</f>
        <v>29</v>
      </c>
    </row>
    <row r="5" spans="2:8" x14ac:dyDescent="0.2">
      <c r="B5" s="6">
        <f>RANK('5do 30 r.ż.'!C4,'5do 30 r.ż.'!$C$3:'5do 30 r.ż.'!$C$28,1)+COUNTIF('5do 30 r.ż.'!$C$3:'5do 30 r.ż.'!C4,'5do 30 r.ż.'!C4)-1</f>
        <v>22</v>
      </c>
      <c r="C5" s="5" t="str">
        <f>INDEX('5do 30 r.ż.'!B3:G28,MATCH(2,B4:B29,0),1)</f>
        <v>Tarnobrzeg</v>
      </c>
      <c r="D5" s="6">
        <f>INDEX('5do 30 r.ż.'!B3:G28,MATCH(2,B4:B29,0),2)</f>
        <v>219</v>
      </c>
      <c r="E5" s="42">
        <f>INDEX('5do 30 r.ż.'!B3:G28,MATCH(2,B4:B29,0),3)</f>
        <v>245</v>
      </c>
      <c r="F5" s="6">
        <f>INDEX('5do 30 r.ż.'!B3:G28,MATCH(2,B4:B29,0),4)</f>
        <v>-26</v>
      </c>
      <c r="G5" s="42">
        <f>INDEX('5do 30 r.ż.'!B3:G28,MATCH(2,B4:B29,0),5)</f>
        <v>203</v>
      </c>
      <c r="H5" s="6">
        <f>INDEX('5do 30 r.ż.'!B3:G28,MATCH(2,B4:B29,0),6)</f>
        <v>16</v>
      </c>
    </row>
    <row r="6" spans="2:8" x14ac:dyDescent="0.2">
      <c r="B6" s="6">
        <f>RANK('5do 30 r.ż.'!C5,'5do 30 r.ż.'!$C$3:'5do 30 r.ż.'!$C$28,1)+COUNTIF('5do 30 r.ż.'!$C$3:'5do 30 r.ż.'!C5,'5do 30 r.ż.'!C5)-1</f>
        <v>11</v>
      </c>
      <c r="C6" s="5" t="str">
        <f>INDEX('5do 30 r.ż.'!B3:G28,MATCH(3,B4:B29,0),1)</f>
        <v>bieszczadzki</v>
      </c>
      <c r="D6" s="6">
        <f>INDEX('5do 30 r.ż.'!B3:G28,MATCH(3,B4:B29,0),2)</f>
        <v>268</v>
      </c>
      <c r="E6" s="42">
        <f>INDEX('5do 30 r.ż.'!B3:G28,MATCH(3,B4:B29,0),3)</f>
        <v>284</v>
      </c>
      <c r="F6" s="6">
        <f>INDEX('5do 30 r.ż.'!B3:G28,MATCH(3,B4:B29,0),4)</f>
        <v>-16</v>
      </c>
      <c r="G6" s="42">
        <f>INDEX('5do 30 r.ż.'!B3:G28,MATCH(3,B4:B29,0),5)</f>
        <v>290</v>
      </c>
      <c r="H6" s="6">
        <f>INDEX('5do 30 r.ż.'!B3:G28,MATCH(3,B4:B29,0),6)</f>
        <v>-22</v>
      </c>
    </row>
    <row r="7" spans="2:8" x14ac:dyDescent="0.2">
      <c r="B7" s="6">
        <f>RANK('5do 30 r.ż.'!C6,'5do 30 r.ż.'!$C$3:'5do 30 r.ż.'!$C$28,1)+COUNTIF('5do 30 r.ż.'!$C$3:'5do 30 r.ż.'!C6,'5do 30 r.ż.'!C6)-1</f>
        <v>23</v>
      </c>
      <c r="C7" s="5" t="str">
        <f>INDEX('5do 30 r.ż.'!B3:G28,MATCH(4,B4:B29,0),1)</f>
        <v xml:space="preserve">tarnobrzeski </v>
      </c>
      <c r="D7" s="6">
        <f>INDEX('5do 30 r.ż.'!B3:G28,MATCH(4,B4:B29,0),2)</f>
        <v>323</v>
      </c>
      <c r="E7" s="42">
        <f>INDEX('5do 30 r.ż.'!B3:G28,MATCH(4,B4:B29,0),3)</f>
        <v>351</v>
      </c>
      <c r="F7" s="6">
        <f>INDEX('5do 30 r.ż.'!B3:G28,MATCH(4,B4:B29,0),4)</f>
        <v>-28</v>
      </c>
      <c r="G7" s="42">
        <f>INDEX('5do 30 r.ż.'!B3:G28,MATCH(4,B4:B29,0),5)</f>
        <v>324</v>
      </c>
      <c r="H7" s="6">
        <f>INDEX('5do 30 r.ż.'!B3:G28,MATCH(4,B4:B29,0),6)</f>
        <v>-1</v>
      </c>
    </row>
    <row r="8" spans="2:8" x14ac:dyDescent="0.2">
      <c r="B8" s="6">
        <f>RANK('5do 30 r.ż.'!C7,'5do 30 r.ż.'!$C$3:'5do 30 r.ż.'!$C$28,1)+COUNTIF('5do 30 r.ż.'!$C$3:'5do 30 r.ż.'!C7,'5do 30 r.ż.'!C7)-1</f>
        <v>25</v>
      </c>
      <c r="C8" s="5" t="str">
        <f>INDEX('5do 30 r.ż.'!B3:G28,MATCH(5,B4:B29,0),1)</f>
        <v>kolbuszowski</v>
      </c>
      <c r="D8" s="6">
        <f>INDEX('5do 30 r.ż.'!B3:G28,MATCH(5,B4:B29,0),2)</f>
        <v>409</v>
      </c>
      <c r="E8" s="42">
        <f>INDEX('5do 30 r.ż.'!B3:G28,MATCH(5,B4:B29,0),3)</f>
        <v>429</v>
      </c>
      <c r="F8" s="6">
        <f>INDEX('5do 30 r.ż.'!B3:G28,MATCH(5,B4:B29,0),4)</f>
        <v>-20</v>
      </c>
      <c r="G8" s="42">
        <f>INDEX('5do 30 r.ż.'!B3:G28,MATCH(5,B4:B29,0),5)</f>
        <v>473</v>
      </c>
      <c r="H8" s="6">
        <f>INDEX('5do 30 r.ż.'!B3:G28,MATCH(5,B4:B29,0),6)</f>
        <v>-64</v>
      </c>
    </row>
    <row r="9" spans="2:8" x14ac:dyDescent="0.2">
      <c r="B9" s="6">
        <f>RANK('5do 30 r.ż.'!C8,'5do 30 r.ż.'!$C$3:'5do 30 r.ż.'!$C$28,1)+COUNTIF('5do 30 r.ż.'!$C$3:'5do 30 r.ż.'!C8,'5do 30 r.ż.'!C8)-1</f>
        <v>5</v>
      </c>
      <c r="C9" s="5" t="str">
        <f>INDEX('5do 30 r.ż.'!B3:G28,MATCH(6,B4:B29,0),1)</f>
        <v>leski</v>
      </c>
      <c r="D9" s="6">
        <f>INDEX('5do 30 r.ż.'!B3:G28,MATCH(6,B4:B29,0),2)</f>
        <v>414</v>
      </c>
      <c r="E9" s="42">
        <f>INDEX('5do 30 r.ż.'!B3:G28,MATCH(6,B4:B29,0),3)</f>
        <v>430</v>
      </c>
      <c r="F9" s="6">
        <f>INDEX('5do 30 r.ż.'!B3:G28,MATCH(6,B4:B29,0),4)</f>
        <v>-16</v>
      </c>
      <c r="G9" s="42">
        <f>INDEX('5do 30 r.ż.'!B3:G28,MATCH(6,B4:B29,0),5)</f>
        <v>476</v>
      </c>
      <c r="H9" s="6">
        <f>INDEX('5do 30 r.ż.'!B3:G28,MATCH(6,B4:B29,0),6)</f>
        <v>-62</v>
      </c>
    </row>
    <row r="10" spans="2:8" x14ac:dyDescent="0.2">
      <c r="B10" s="6">
        <f>RANK('5do 30 r.ż.'!C9,'5do 30 r.ż.'!$C$3:'5do 30 r.ż.'!$C$28,1)+COUNTIF('5do 30 r.ż.'!$C$3:'5do 30 r.ż.'!C9,'5do 30 r.ż.'!C9)-1</f>
        <v>10</v>
      </c>
      <c r="C10" s="9" t="str">
        <f>INDEX('5do 30 r.ż.'!B3:G28,MATCH(7,B4:B29,0),1)</f>
        <v>Przemyśl</v>
      </c>
      <c r="D10" s="6">
        <f>INDEX('5do 30 r.ż.'!B3:G28,MATCH(7,B4:B29,0),2)</f>
        <v>424</v>
      </c>
      <c r="E10" s="42">
        <f>INDEX('5do 30 r.ż.'!B3:G28,MATCH(7,B4:B29,0),3)</f>
        <v>418</v>
      </c>
      <c r="F10" s="6">
        <f>INDEX('5do 30 r.ż.'!B3:G28,MATCH(7,B4:B29,0),4)</f>
        <v>6</v>
      </c>
      <c r="G10" s="42">
        <f>INDEX('5do 30 r.ż.'!B3:G28,MATCH(7,B4:B29,0),5)</f>
        <v>450</v>
      </c>
      <c r="H10" s="6">
        <f>INDEX('5do 30 r.ż.'!B3:G28,MATCH(7,B4:B29,0),6)</f>
        <v>-26</v>
      </c>
    </row>
    <row r="11" spans="2:8" x14ac:dyDescent="0.2">
      <c r="B11" s="6">
        <f>RANK('5do 30 r.ż.'!C10,'5do 30 r.ż.'!$C$3:'5do 30 r.ż.'!$C$28,1)+COUNTIF('5do 30 r.ż.'!$C$3:'5do 30 r.ż.'!C10,'5do 30 r.ż.'!C10)-1</f>
        <v>6</v>
      </c>
      <c r="C11" s="5" t="str">
        <f>INDEX('5do 30 r.ż.'!B3:G28,MATCH(8,B4:B29,0),1)</f>
        <v>lubaczowski</v>
      </c>
      <c r="D11" s="6">
        <f>INDEX('5do 30 r.ż.'!B3:G28,MATCH(8,B4:B29,0),2)</f>
        <v>454</v>
      </c>
      <c r="E11" s="42">
        <f>INDEX('5do 30 r.ż.'!B3:G28,MATCH(8,B4:B29,0),3)</f>
        <v>495</v>
      </c>
      <c r="F11" s="6">
        <f>INDEX('5do 30 r.ż.'!B3:G28,MATCH(8,B4:B29,0),4)</f>
        <v>-41</v>
      </c>
      <c r="G11" s="42">
        <f>INDEX('5do 30 r.ż.'!B3:G28,MATCH(8,B4:B29,0),5)</f>
        <v>493</v>
      </c>
      <c r="H11" s="6">
        <f>INDEX('5do 30 r.ż.'!B3:G28,MATCH(8,B4:B29,0),6)</f>
        <v>-39</v>
      </c>
    </row>
    <row r="12" spans="2:8" x14ac:dyDescent="0.2">
      <c r="B12" s="6">
        <f>RANK('5do 30 r.ż.'!C11,'5do 30 r.ż.'!$C$3:'5do 30 r.ż.'!$C$28,1)+COUNTIF('5do 30 r.ż.'!$C$3:'5do 30 r.ż.'!C11,'5do 30 r.ż.'!C11)-1</f>
        <v>19</v>
      </c>
      <c r="C12" s="5" t="str">
        <f>INDEX('5do 30 r.ż.'!B3:G28,MATCH(9,B4:B29,0),1)</f>
        <v>stalowowolski</v>
      </c>
      <c r="D12" s="6">
        <f>INDEX('5do 30 r.ż.'!B3:G28,MATCH(9,B4:B29,0),2)</f>
        <v>530</v>
      </c>
      <c r="E12" s="42">
        <f>INDEX('5do 30 r.ż.'!B3:G28,MATCH(9,B4:B29,0),3)</f>
        <v>552</v>
      </c>
      <c r="F12" s="6">
        <f>INDEX('5do 30 r.ż.'!B3:G28,MATCH(9,B4:B29,0),4)</f>
        <v>-22</v>
      </c>
      <c r="G12" s="42">
        <f>INDEX('5do 30 r.ż.'!B3:G28,MATCH(9,B4:B29,0),5)</f>
        <v>517</v>
      </c>
      <c r="H12" s="6">
        <f>INDEX('5do 30 r.ż.'!B3:G28,MATCH(9,B4:B29,0),6)</f>
        <v>13</v>
      </c>
    </row>
    <row r="13" spans="2:8" x14ac:dyDescent="0.2">
      <c r="B13" s="6">
        <f>RANK('5do 30 r.ż.'!C12,'5do 30 r.ż.'!$C$3:'5do 30 r.ż.'!$C$28,1)+COUNTIF('5do 30 r.ż.'!$C$3:'5do 30 r.ż.'!C12,'5do 30 r.ż.'!C12)-1</f>
        <v>8</v>
      </c>
      <c r="C13" s="5" t="str">
        <f>INDEX('5do 30 r.ż.'!B3:G28,MATCH(10,B4:B29,0),1)</f>
        <v>krośnieński</v>
      </c>
      <c r="D13" s="6">
        <f>INDEX('5do 30 r.ż.'!B3:G28,MATCH(10,B4:B29,0),2)</f>
        <v>605</v>
      </c>
      <c r="E13" s="42">
        <f>INDEX('5do 30 r.ż.'!B3:G28,MATCH(10,B4:B29,0),3)</f>
        <v>658</v>
      </c>
      <c r="F13" s="6">
        <f>INDEX('5do 30 r.ż.'!B3:G28,MATCH(10,B4:B29,0),4)</f>
        <v>-53</v>
      </c>
      <c r="G13" s="42">
        <f>INDEX('5do 30 r.ż.'!B3:G28,MATCH(10,B4:B29,0),5)</f>
        <v>556</v>
      </c>
      <c r="H13" s="6">
        <f>INDEX('5do 30 r.ż.'!B3:G28,MATCH(10,B4:B29,0),6)</f>
        <v>49</v>
      </c>
    </row>
    <row r="14" spans="2:8" x14ac:dyDescent="0.2">
      <c r="B14" s="6">
        <f>RANK('5do 30 r.ż.'!C13,'5do 30 r.ż.'!$C$3:'5do 30 r.ż.'!$C$28,1)+COUNTIF('5do 30 r.ż.'!$C$3:'5do 30 r.ż.'!C13,'5do 30 r.ż.'!C13)-1</f>
        <v>13</v>
      </c>
      <c r="C14" s="5" t="str">
        <f>INDEX('5do 30 r.ż.'!B3:G28,MATCH(11,B4:B29,0),1)</f>
        <v>dębicki</v>
      </c>
      <c r="D14" s="6">
        <f>INDEX('5do 30 r.ż.'!B3:G28,MATCH(11,B4:B29,0),2)</f>
        <v>698</v>
      </c>
      <c r="E14" s="42">
        <f>INDEX('5do 30 r.ż.'!B3:G28,MATCH(11,B4:B29,0),3)</f>
        <v>716</v>
      </c>
      <c r="F14" s="6">
        <f>INDEX('5do 30 r.ż.'!B3:G28,MATCH(11,B4:B29,0),4)</f>
        <v>-18</v>
      </c>
      <c r="G14" s="42">
        <f>INDEX('5do 30 r.ż.'!B3:G28,MATCH(11,B4:B29,0),5)</f>
        <v>674</v>
      </c>
      <c r="H14" s="6">
        <f>INDEX('5do 30 r.ż.'!B3:G28,MATCH(11,B4:B29,0),6)</f>
        <v>24</v>
      </c>
    </row>
    <row r="15" spans="2:8" x14ac:dyDescent="0.2">
      <c r="B15" s="6">
        <f>RANK('5do 30 r.ż.'!C14,'5do 30 r.ż.'!$C$3:'5do 30 r.ż.'!$C$28,1)+COUNTIF('5do 30 r.ż.'!$C$3:'5do 30 r.ż.'!C14,'5do 30 r.ż.'!C14)-1</f>
        <v>14</v>
      </c>
      <c r="C15" s="5" t="str">
        <f>INDEX('5do 30 r.ż.'!B3:G28,MATCH(12,B4:B29,0),1)</f>
        <v>sanocki</v>
      </c>
      <c r="D15" s="6">
        <f>INDEX('5do 30 r.ż.'!B3:G28,MATCH(12,B4:B29,0),2)</f>
        <v>719</v>
      </c>
      <c r="E15" s="42">
        <f>INDEX('5do 30 r.ż.'!B3:G28,MATCH(12,B4:B29,0),3)</f>
        <v>789</v>
      </c>
      <c r="F15" s="6">
        <f>INDEX('5do 30 r.ż.'!B3:G28,MATCH(12,B4:B29,0),4)</f>
        <v>-70</v>
      </c>
      <c r="G15" s="42">
        <f>INDEX('5do 30 r.ż.'!B3:G28,MATCH(12,B4:B29,0),5)</f>
        <v>716</v>
      </c>
      <c r="H15" s="6">
        <f>INDEX('5do 30 r.ż.'!B3:G28,MATCH(12,B4:B29,0),6)</f>
        <v>3</v>
      </c>
    </row>
    <row r="16" spans="2:8" x14ac:dyDescent="0.2">
      <c r="B16" s="6">
        <f>RANK('5do 30 r.ż.'!C15,'5do 30 r.ż.'!$C$3:'5do 30 r.ż.'!$C$28,1)+COUNTIF('5do 30 r.ż.'!$C$3:'5do 30 r.ż.'!C15,'5do 30 r.ż.'!C15)-1</f>
        <v>15</v>
      </c>
      <c r="C16" s="5" t="str">
        <f>INDEX('5do 30 r.ż.'!B3:G28,MATCH(13,B4:B29,0),1)</f>
        <v>łańcucki</v>
      </c>
      <c r="D16" s="6">
        <f>INDEX('5do 30 r.ż.'!B3:G28,MATCH(13,B4:B29,0),2)</f>
        <v>724</v>
      </c>
      <c r="E16" s="42">
        <f>INDEX('5do 30 r.ż.'!B3:G28,MATCH(13,B4:B29,0),3)</f>
        <v>773</v>
      </c>
      <c r="F16" s="6">
        <f>INDEX('5do 30 r.ż.'!B3:G28,MATCH(13,B4:B29,0),4)</f>
        <v>-49</v>
      </c>
      <c r="G16" s="42">
        <f>INDEX('5do 30 r.ż.'!B3:G28,MATCH(13,B4:B29,0),5)</f>
        <v>730</v>
      </c>
      <c r="H16" s="6">
        <f>INDEX('5do 30 r.ż.'!B3:G28,MATCH(13,B4:B29,0),6)</f>
        <v>-6</v>
      </c>
    </row>
    <row r="17" spans="2:8" x14ac:dyDescent="0.2">
      <c r="B17" s="6">
        <f>RANK('5do 30 r.ż.'!C16,'5do 30 r.ż.'!$C$3:'5do 30 r.ż.'!$C$28,1)+COUNTIF('5do 30 r.ż.'!$C$3:'5do 30 r.ż.'!C16,'5do 30 r.ż.'!C16)-1</f>
        <v>16</v>
      </c>
      <c r="C17" s="5" t="str">
        <f>INDEX('5do 30 r.ż.'!B3:G28,MATCH(14,B4:B29,0),1)</f>
        <v>mielecki</v>
      </c>
      <c r="D17" s="6">
        <f>INDEX('5do 30 r.ż.'!B3:G28,MATCH(14,B4:B29,0),2)</f>
        <v>725</v>
      </c>
      <c r="E17" s="42">
        <f>INDEX('5do 30 r.ż.'!B3:G28,MATCH(14,B4:B29,0),3)</f>
        <v>767</v>
      </c>
      <c r="F17" s="6">
        <f>INDEX('5do 30 r.ż.'!B3:G28,MATCH(14,B4:B29,0),4)</f>
        <v>-42</v>
      </c>
      <c r="G17" s="42">
        <f>INDEX('5do 30 r.ż.'!B3:G28,MATCH(14,B4:B29,0),5)</f>
        <v>723</v>
      </c>
      <c r="H17" s="6">
        <f>INDEX('5do 30 r.ż.'!B3:G28,MATCH(14,B4:B29,0),6)</f>
        <v>2</v>
      </c>
    </row>
    <row r="18" spans="2:8" x14ac:dyDescent="0.2">
      <c r="B18" s="6">
        <f>RANK('5do 30 r.ż.'!C17,'5do 30 r.ż.'!$C$3:'5do 30 r.ż.'!$C$28,1)+COUNTIF('5do 30 r.ż.'!$C$3:'5do 30 r.ż.'!C17,'5do 30 r.ż.'!C17)-1</f>
        <v>20</v>
      </c>
      <c r="C18" s="5" t="str">
        <f>INDEX('5do 30 r.ż.'!B3:G28,MATCH(15,B4:B29,0),1)</f>
        <v>niżański</v>
      </c>
      <c r="D18" s="6">
        <f>INDEX('5do 30 r.ż.'!B3:G28,MATCH(15,B4:B29,0),2)</f>
        <v>769</v>
      </c>
      <c r="E18" s="42">
        <f>INDEX('5do 30 r.ż.'!B3:G28,MATCH(15,B4:B29,0),3)</f>
        <v>772</v>
      </c>
      <c r="F18" s="6">
        <f>INDEX('5do 30 r.ż.'!B3:G28,MATCH(15,B4:B29,0),4)</f>
        <v>-3</v>
      </c>
      <c r="G18" s="42">
        <f>INDEX('5do 30 r.ż.'!B3:G28,MATCH(15,B4:B29,0),5)</f>
        <v>827</v>
      </c>
      <c r="H18" s="6">
        <f>INDEX('5do 30 r.ż.'!B3:G28,MATCH(15,B4:B29,0),6)</f>
        <v>-58</v>
      </c>
    </row>
    <row r="19" spans="2:8" x14ac:dyDescent="0.2">
      <c r="B19" s="6">
        <f>RANK('5do 30 r.ż.'!C18,'5do 30 r.ż.'!$C$3:'5do 30 r.ż.'!$C$28,1)+COUNTIF('5do 30 r.ż.'!$C$3:'5do 30 r.ż.'!C18,'5do 30 r.ż.'!C18)-1</f>
        <v>17</v>
      </c>
      <c r="C19" s="5" t="str">
        <f>INDEX('5do 30 r.ż.'!B3:G28,MATCH(16,B4:B29,0),1)</f>
        <v>przemyski</v>
      </c>
      <c r="D19" s="6">
        <f>INDEX('5do 30 r.ż.'!B3:G28,MATCH(16,B4:B29,0),2)</f>
        <v>774</v>
      </c>
      <c r="E19" s="42">
        <f>INDEX('5do 30 r.ż.'!B3:G28,MATCH(16,B4:B29,0),3)</f>
        <v>806</v>
      </c>
      <c r="F19" s="6">
        <f>INDEX('5do 30 r.ż.'!B3:G28,MATCH(16,B4:B29,0),4)</f>
        <v>-32</v>
      </c>
      <c r="G19" s="42">
        <f>INDEX('5do 30 r.ż.'!B3:G28,MATCH(16,B4:B29,0),5)</f>
        <v>787</v>
      </c>
      <c r="H19" s="6">
        <f>INDEX('5do 30 r.ż.'!B3:G28,MATCH(16,B4:B29,0),6)</f>
        <v>-13</v>
      </c>
    </row>
    <row r="20" spans="2:8" x14ac:dyDescent="0.2">
      <c r="B20" s="6">
        <f>RANK('5do 30 r.ż.'!C19,'5do 30 r.ż.'!$C$3:'5do 30 r.ż.'!$C$28,1)+COUNTIF('5do 30 r.ż.'!$C$3:'5do 30 r.ż.'!C19,'5do 30 r.ż.'!C19)-1</f>
        <v>24</v>
      </c>
      <c r="C20" s="5" t="str">
        <f>INDEX('5do 30 r.ż.'!B3:G28,MATCH(17,B4:B29,0),1)</f>
        <v>ropczycko-sędziszowski</v>
      </c>
      <c r="D20" s="6">
        <f>INDEX('5do 30 r.ż.'!B3:G28,MATCH(17,B4:B29,0),2)</f>
        <v>806</v>
      </c>
      <c r="E20" s="42">
        <f>INDEX('5do 30 r.ż.'!B3:G28,MATCH(17,B4:B29,0),3)</f>
        <v>780</v>
      </c>
      <c r="F20" s="6">
        <f>INDEX('5do 30 r.ż.'!B3:G28,MATCH(17,B4:B29,0),4)</f>
        <v>26</v>
      </c>
      <c r="G20" s="42">
        <f>INDEX('5do 30 r.ż.'!B3:G28,MATCH(17,B4:B29,0),5)</f>
        <v>737</v>
      </c>
      <c r="H20" s="6">
        <f>INDEX('5do 30 r.ż.'!B3:G28,MATCH(17,B4:B29,0),6)</f>
        <v>69</v>
      </c>
    </row>
    <row r="21" spans="2:8" x14ac:dyDescent="0.2">
      <c r="B21" s="6">
        <f>RANK('5do 30 r.ż.'!C20,'5do 30 r.ż.'!$C$3:'5do 30 r.ż.'!$C$28,1)+COUNTIF('5do 30 r.ż.'!$C$3:'5do 30 r.ż.'!C20,'5do 30 r.ż.'!C20)-1</f>
        <v>12</v>
      </c>
      <c r="C21" s="5" t="str">
        <f>INDEX('5do 30 r.ż.'!B3:G28,MATCH(18,B4:B29,0),1)</f>
        <v>strzyżowski</v>
      </c>
      <c r="D21" s="6">
        <f>INDEX('5do 30 r.ż.'!B3:G28,MATCH(18,B4:B29,0),2)</f>
        <v>821</v>
      </c>
      <c r="E21" s="42">
        <f>INDEX('5do 30 r.ż.'!B3:G28,MATCH(18,B4:B29,0),3)</f>
        <v>851</v>
      </c>
      <c r="F21" s="6">
        <f>INDEX('5do 30 r.ż.'!B3:G28,MATCH(18,B4:B29,0),4)</f>
        <v>-30</v>
      </c>
      <c r="G21" s="42">
        <f>INDEX('5do 30 r.ż.'!B3:G28,MATCH(18,B4:B29,0),5)</f>
        <v>885</v>
      </c>
      <c r="H21" s="6">
        <f>INDEX('5do 30 r.ż.'!B3:G28,MATCH(18,B4:B29,0),6)</f>
        <v>-64</v>
      </c>
    </row>
    <row r="22" spans="2:8" x14ac:dyDescent="0.2">
      <c r="B22" s="6">
        <f>RANK('5do 30 r.ż.'!C21,'5do 30 r.ż.'!$C$3:'5do 30 r.ż.'!$C$28,1)+COUNTIF('5do 30 r.ż.'!$C$3:'5do 30 r.ż.'!C21,'5do 30 r.ż.'!C21)-1</f>
        <v>9</v>
      </c>
      <c r="C22" s="5" t="str">
        <f>INDEX('5do 30 r.ż.'!B3:G28,MATCH(19,B4:B29,0),1)</f>
        <v>leżajski</v>
      </c>
      <c r="D22" s="6">
        <f>INDEX('5do 30 r.ż.'!B3:G28,MATCH(19,B4:B29,0),2)</f>
        <v>860</v>
      </c>
      <c r="E22" s="42">
        <f>INDEX('5do 30 r.ż.'!B3:G28,MATCH(19,B4:B29,0),3)</f>
        <v>867</v>
      </c>
      <c r="F22" s="6">
        <f>INDEX('5do 30 r.ż.'!B3:G28,MATCH(19,B4:B29,0),4)</f>
        <v>-7</v>
      </c>
      <c r="G22" s="42">
        <f>INDEX('5do 30 r.ż.'!B3:G28,MATCH(19,B4:B29,0),5)</f>
        <v>908</v>
      </c>
      <c r="H22" s="6">
        <f>INDEX('5do 30 r.ż.'!B3:G28,MATCH(19,B4:B29,0),6)</f>
        <v>-48</v>
      </c>
    </row>
    <row r="23" spans="2:8" x14ac:dyDescent="0.2">
      <c r="B23" s="6">
        <f>RANK('5do 30 r.ż.'!C22,'5do 30 r.ż.'!$C$3:'5do 30 r.ż.'!$C$28,1)+COUNTIF('5do 30 r.ż.'!$C$3:'5do 30 r.ż.'!C22,'5do 30 r.ż.'!C22)-1</f>
        <v>18</v>
      </c>
      <c r="C23" s="5" t="str">
        <f>INDEX('5do 30 r.ż.'!B3:G28,MATCH(20,B4:B29,0),1)</f>
        <v>przeworski</v>
      </c>
      <c r="D23" s="6">
        <f>INDEX('5do 30 r.ż.'!B3:G28,MATCH(20,B4:B29,0),2)</f>
        <v>869</v>
      </c>
      <c r="E23" s="42">
        <f>INDEX('5do 30 r.ż.'!B3:G28,MATCH(20,B4:B29,0),3)</f>
        <v>883</v>
      </c>
      <c r="F23" s="6">
        <f>INDEX('5do 30 r.ż.'!B3:G28,MATCH(20,B4:B29,0),4)</f>
        <v>-14</v>
      </c>
      <c r="G23" s="42">
        <f>INDEX('5do 30 r.ż.'!B3:G28,MATCH(20,B4:B29,0),5)</f>
        <v>953</v>
      </c>
      <c r="H23" s="6">
        <f>INDEX('5do 30 r.ż.'!B3:G28,MATCH(20,B4:B29,0),6)</f>
        <v>-84</v>
      </c>
    </row>
    <row r="24" spans="2:8" x14ac:dyDescent="0.2">
      <c r="B24" s="6">
        <f>RANK('5do 30 r.ż.'!C23,'5do 30 r.ż.'!$C$3:'5do 30 r.ż.'!$C$28,1)+COUNTIF('5do 30 r.ż.'!$C$3:'5do 30 r.ż.'!C23,'5do 30 r.ż.'!C23)-1</f>
        <v>4</v>
      </c>
      <c r="C24" s="5" t="str">
        <f>INDEX('5do 30 r.ż.'!B3:G28,MATCH(21,B4:B29,0),1)</f>
        <v>Rzeszów</v>
      </c>
      <c r="D24" s="6">
        <f>INDEX('5do 30 r.ż.'!B3:G28,MATCH(21,B4:B29,0),2)</f>
        <v>919</v>
      </c>
      <c r="E24" s="42">
        <f>INDEX('5do 30 r.ż.'!B3:G28,MATCH(21,B4:B29,0),3)</f>
        <v>968</v>
      </c>
      <c r="F24" s="6">
        <f>INDEX('5do 30 r.ż.'!B3:G28,MATCH(21,B4:B29,0),4)</f>
        <v>-49</v>
      </c>
      <c r="G24" s="42">
        <f>INDEX('5do 30 r.ż.'!B3:G28,MATCH(21,B4:B29,0),5)</f>
        <v>1030</v>
      </c>
      <c r="H24" s="6">
        <f>INDEX('5do 30 r.ż.'!B3:G28,MATCH(21,B4:B29,0),6)</f>
        <v>-111</v>
      </c>
    </row>
    <row r="25" spans="2:8" x14ac:dyDescent="0.2">
      <c r="B25" s="6">
        <f>RANK('5do 30 r.ż.'!C24,'5do 30 r.ż.'!$C$3:'5do 30 r.ż.'!$C$28,1)+COUNTIF('5do 30 r.ż.'!$C$3:'5do 30 r.ż.'!C24,'5do 30 r.ż.'!C24)-1</f>
        <v>1</v>
      </c>
      <c r="C25" s="5" t="str">
        <f>INDEX('5do 30 r.ż.'!B3:G28,MATCH(22,B4:B29,0),1)</f>
        <v>brzozowski</v>
      </c>
      <c r="D25" s="6">
        <f>INDEX('5do 30 r.ż.'!B3:G28,MATCH(22,B4:B29,0),2)</f>
        <v>924</v>
      </c>
      <c r="E25" s="42">
        <f>INDEX('5do 30 r.ż.'!B3:G28,MATCH(22,B4:B29,0),3)</f>
        <v>994</v>
      </c>
      <c r="F25" s="6">
        <f>INDEX('5do 30 r.ż.'!B3:G28,MATCH(22,B4:B29,0),4)</f>
        <v>-70</v>
      </c>
      <c r="G25" s="42">
        <f>INDEX('5do 30 r.ż.'!B3:G28,MATCH(22,B4:B29,0),5)</f>
        <v>954</v>
      </c>
      <c r="H25" s="6">
        <f>INDEX('5do 30 r.ż.'!B3:G28,MATCH(22,B4:B29,0),6)</f>
        <v>-30</v>
      </c>
    </row>
    <row r="26" spans="2:8" x14ac:dyDescent="0.2">
      <c r="B26" s="6">
        <f>RANK('5do 30 r.ż.'!C25,'5do 30 r.ż.'!$C$3:'5do 30 r.ż.'!$C$28,1)+COUNTIF('5do 30 r.ż.'!$C$3:'5do 30 r.ż.'!C25,'5do 30 r.ż.'!C25)-1</f>
        <v>7</v>
      </c>
      <c r="C26" s="5" t="str">
        <f>INDEX('5do 30 r.ż.'!B3:G28,MATCH(23,B4:B29,0),1)</f>
        <v>jarosławski</v>
      </c>
      <c r="D26" s="6">
        <f>INDEX('5do 30 r.ż.'!B3:G28,MATCH(23,B4:B29,0),2)</f>
        <v>1075</v>
      </c>
      <c r="E26" s="42">
        <f>INDEX('5do 30 r.ż.'!B3:G28,MATCH(23,B4:B29,0),3)</f>
        <v>1196</v>
      </c>
      <c r="F26" s="6">
        <f>INDEX('5do 30 r.ż.'!B3:G28,MATCH(23,B4:B29,0),4)</f>
        <v>-121</v>
      </c>
      <c r="G26" s="42">
        <f>INDEX('5do 30 r.ż.'!B3:G28,MATCH(23,B4:B29,0),5)</f>
        <v>1170</v>
      </c>
      <c r="H26" s="6">
        <f>INDEX('5do 30 r.ż.'!B3:G28,MATCH(23,B4:B29,0),6)</f>
        <v>-95</v>
      </c>
    </row>
    <row r="27" spans="2:8" x14ac:dyDescent="0.2">
      <c r="B27" s="6">
        <f>RANK('5do 30 r.ż.'!C26,'5do 30 r.ż.'!$C$3:'5do 30 r.ż.'!$C$28,1)+COUNTIF('5do 30 r.ż.'!$C$3:'5do 30 r.ż.'!C26,'5do 30 r.ż.'!C26)-1</f>
        <v>21</v>
      </c>
      <c r="C27" s="5" t="str">
        <f>INDEX('5do 30 r.ż.'!B3:G28,MATCH(24,B4:B29,0),1)</f>
        <v>rzeszowski</v>
      </c>
      <c r="D27" s="6">
        <f>INDEX('5do 30 r.ż.'!B3:G28,MATCH(24,B4:B29,0),2)</f>
        <v>1225</v>
      </c>
      <c r="E27" s="42">
        <f>INDEX('5do 30 r.ż.'!B3:G28,MATCH(24,B4:B29,0),3)</f>
        <v>1273</v>
      </c>
      <c r="F27" s="6">
        <f>INDEX('5do 30 r.ż.'!B3:G28,MATCH(24,B4:B29,0),4)</f>
        <v>-48</v>
      </c>
      <c r="G27" s="42">
        <f>INDEX('5do 30 r.ż.'!B3:G28,MATCH(24,B4:B29,0),5)</f>
        <v>1247</v>
      </c>
      <c r="H27" s="6">
        <f>INDEX('5do 30 r.ż.'!B3:G28,MATCH(24,B4:B29,0),6)</f>
        <v>-22</v>
      </c>
    </row>
    <row r="28" spans="2:8" x14ac:dyDescent="0.2">
      <c r="B28" s="6">
        <f>RANK('5do 30 r.ż.'!C27,'5do 30 r.ż.'!$C$3:'5do 30 r.ż.'!$C$28,1)+COUNTIF('5do 30 r.ż.'!$C$3:'5do 30 r.ż.'!C27,'5do 30 r.ż.'!C27)-1</f>
        <v>2</v>
      </c>
      <c r="C28" s="5" t="str">
        <f>INDEX('5do 30 r.ż.'!B3:G28,MATCH(25,B4:B29,0),1)</f>
        <v>jasielski</v>
      </c>
      <c r="D28" s="6">
        <f>INDEX('5do 30 r.ż.'!B3:G28,MATCH(25,B4:B29,0),2)</f>
        <v>1226</v>
      </c>
      <c r="E28" s="42">
        <f>INDEX('5do 30 r.ż.'!B3:G28,MATCH(25,B4:B29,0),3)</f>
        <v>1325</v>
      </c>
      <c r="F28" s="6">
        <f>INDEX('5do 30 r.ż.'!B3:G28,MATCH(25,B4:B29,0),4)</f>
        <v>-99</v>
      </c>
      <c r="G28" s="42">
        <f>INDEX('5do 30 r.ż.'!B3:G28,MATCH(25,B4:B29,0),5)</f>
        <v>1248</v>
      </c>
      <c r="H28" s="6">
        <f>INDEX('5do 30 r.ż.'!B3:G28,MATCH(25,B4:B29,0),6)</f>
        <v>-22</v>
      </c>
    </row>
    <row r="29" spans="2:8" ht="15" x14ac:dyDescent="0.25">
      <c r="B29" s="40">
        <f>RANK('5do 30 r.ż.'!C28,'5do 30 r.ż.'!$C$3:'5do 30 r.ż.'!$C$28,1)+COUNTIF('5do 30 r.ż.'!$C$3:'5do 30 r.ż.'!C28,'5do 30 r.ż.'!C28)-1</f>
        <v>26</v>
      </c>
      <c r="C29" s="39" t="str">
        <f>INDEX('5do 30 r.ż.'!B3:G28,MATCH(26,B4:B29,0),1)</f>
        <v>województwo</v>
      </c>
      <c r="D29" s="40">
        <f>INDEX('5do 30 r.ż.'!B3:G28,MATCH(26,B4:B29,0),2)</f>
        <v>16950</v>
      </c>
      <c r="E29" s="44">
        <f>INDEX('5do 30 r.ż.'!B3:G28,MATCH(26,B4:B29,0),3)</f>
        <v>17802</v>
      </c>
      <c r="F29" s="40">
        <f>INDEX('5do 30 r.ż.'!B3:G28,MATCH(26,B4:B29,0),4)</f>
        <v>-852</v>
      </c>
      <c r="G29" s="44">
        <f>INDEX('5do 30 r.ż.'!B3:G28,MATCH(26,B4:B29,0),5)</f>
        <v>17512</v>
      </c>
      <c r="H29" s="40">
        <f>INDEX('5do 30 r.ż.'!B3:G28,MATCH(26,B4:B29,0),6)</f>
        <v>-562</v>
      </c>
    </row>
  </sheetData>
  <pageMargins left="0" right="0" top="0.31496062992125984" bottom="0" header="0" footer="0"/>
  <pageSetup paperSize="9" scale="71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C00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28515625" style="3" customWidth="1"/>
    <col min="2" max="2" width="24.7109375" style="3" customWidth="1"/>
    <col min="3" max="4" width="14.140625" style="3" customWidth="1"/>
    <col min="5" max="5" width="16.5703125" style="3" customWidth="1"/>
    <col min="6" max="6" width="13.7109375" style="3" customWidth="1"/>
    <col min="7" max="7" width="17.28515625" style="3" customWidth="1"/>
    <col min="8" max="8" width="6.85546875" style="3" customWidth="1"/>
    <col min="9" max="13" width="0" style="3" hidden="1" customWidth="1"/>
    <col min="14" max="16384" width="9.140625" style="3"/>
  </cols>
  <sheetData>
    <row r="1" spans="2:8" ht="17.25" customHeight="1" x14ac:dyDescent="0.2">
      <c r="B1" s="1" t="s">
        <v>38</v>
      </c>
      <c r="C1" s="29"/>
      <c r="D1" s="29"/>
      <c r="E1" s="29"/>
      <c r="F1" s="29"/>
      <c r="G1" s="29"/>
    </row>
    <row r="2" spans="2:8" ht="57.75" x14ac:dyDescent="0.2">
      <c r="B2" s="36" t="s">
        <v>27</v>
      </c>
      <c r="C2" s="37" t="s">
        <v>100</v>
      </c>
      <c r="D2" s="38" t="s">
        <v>99</v>
      </c>
      <c r="E2" s="37" t="s">
        <v>28</v>
      </c>
      <c r="F2" s="38" t="s">
        <v>98</v>
      </c>
      <c r="G2" s="37" t="s">
        <v>26</v>
      </c>
    </row>
    <row r="3" spans="2:8" x14ac:dyDescent="0.2">
      <c r="B3" s="5" t="s">
        <v>0</v>
      </c>
      <c r="C3" s="28">
        <v>239</v>
      </c>
      <c r="D3" s="42">
        <v>250</v>
      </c>
      <c r="E3" s="28">
        <f t="shared" ref="E3:E27" si="0">SUM(C3)-D3</f>
        <v>-11</v>
      </c>
      <c r="F3" s="42">
        <v>264</v>
      </c>
      <c r="G3" s="28">
        <f t="shared" ref="G3:G27" si="1">SUM(C3)-F3</f>
        <v>-25</v>
      </c>
      <c r="H3" s="7"/>
    </row>
    <row r="4" spans="2:8" x14ac:dyDescent="0.2">
      <c r="B4" s="5" t="s">
        <v>1</v>
      </c>
      <c r="C4" s="28">
        <v>902</v>
      </c>
      <c r="D4" s="42">
        <v>958</v>
      </c>
      <c r="E4" s="28">
        <f t="shared" si="0"/>
        <v>-56</v>
      </c>
      <c r="F4" s="42">
        <v>960</v>
      </c>
      <c r="G4" s="28">
        <f t="shared" si="1"/>
        <v>-58</v>
      </c>
      <c r="H4" s="7"/>
    </row>
    <row r="5" spans="2:8" x14ac:dyDescent="0.2">
      <c r="B5" s="5" t="s">
        <v>2</v>
      </c>
      <c r="C5" s="28">
        <v>557</v>
      </c>
      <c r="D5" s="42">
        <v>593</v>
      </c>
      <c r="E5" s="28">
        <f t="shared" si="0"/>
        <v>-36</v>
      </c>
      <c r="F5" s="42">
        <v>590</v>
      </c>
      <c r="G5" s="28">
        <f t="shared" si="1"/>
        <v>-33</v>
      </c>
      <c r="H5" s="7"/>
    </row>
    <row r="6" spans="2:8" x14ac:dyDescent="0.2">
      <c r="B6" s="5" t="s">
        <v>3</v>
      </c>
      <c r="C6" s="28">
        <v>1058</v>
      </c>
      <c r="D6" s="42">
        <v>1066</v>
      </c>
      <c r="E6" s="28">
        <f t="shared" si="0"/>
        <v>-8</v>
      </c>
      <c r="F6" s="42">
        <v>1119</v>
      </c>
      <c r="G6" s="28">
        <f t="shared" si="1"/>
        <v>-61</v>
      </c>
      <c r="H6" s="7"/>
    </row>
    <row r="7" spans="2:8" x14ac:dyDescent="0.2">
      <c r="B7" s="5" t="s">
        <v>4</v>
      </c>
      <c r="C7" s="28">
        <v>1119</v>
      </c>
      <c r="D7" s="42">
        <v>1185</v>
      </c>
      <c r="E7" s="28">
        <f t="shared" si="0"/>
        <v>-66</v>
      </c>
      <c r="F7" s="42">
        <v>1134</v>
      </c>
      <c r="G7" s="28">
        <f t="shared" si="1"/>
        <v>-15</v>
      </c>
      <c r="H7" s="7"/>
    </row>
    <row r="8" spans="2:8" x14ac:dyDescent="0.2">
      <c r="B8" s="5" t="s">
        <v>5</v>
      </c>
      <c r="C8" s="28">
        <v>425</v>
      </c>
      <c r="D8" s="42">
        <v>419</v>
      </c>
      <c r="E8" s="28">
        <f t="shared" si="0"/>
        <v>6</v>
      </c>
      <c r="F8" s="42">
        <v>429</v>
      </c>
      <c r="G8" s="28">
        <f t="shared" si="1"/>
        <v>-4</v>
      </c>
      <c r="H8" s="7"/>
    </row>
    <row r="9" spans="2:8" x14ac:dyDescent="0.2">
      <c r="B9" s="9" t="s">
        <v>6</v>
      </c>
      <c r="C9" s="28">
        <v>600</v>
      </c>
      <c r="D9" s="42">
        <v>613</v>
      </c>
      <c r="E9" s="28">
        <f t="shared" si="0"/>
        <v>-13</v>
      </c>
      <c r="F9" s="42">
        <v>577</v>
      </c>
      <c r="G9" s="28">
        <f t="shared" si="1"/>
        <v>23</v>
      </c>
      <c r="H9" s="7"/>
    </row>
    <row r="10" spans="2:8" x14ac:dyDescent="0.2">
      <c r="B10" s="5" t="s">
        <v>7</v>
      </c>
      <c r="C10" s="28">
        <v>421</v>
      </c>
      <c r="D10" s="42">
        <v>439</v>
      </c>
      <c r="E10" s="28">
        <f t="shared" si="0"/>
        <v>-18</v>
      </c>
      <c r="F10" s="42">
        <v>423</v>
      </c>
      <c r="G10" s="28">
        <f t="shared" si="1"/>
        <v>-2</v>
      </c>
      <c r="H10" s="7"/>
    </row>
    <row r="11" spans="2:8" x14ac:dyDescent="0.2">
      <c r="B11" s="5" t="s">
        <v>8</v>
      </c>
      <c r="C11" s="28">
        <v>708</v>
      </c>
      <c r="D11" s="42">
        <v>750</v>
      </c>
      <c r="E11" s="28">
        <f t="shared" si="0"/>
        <v>-42</v>
      </c>
      <c r="F11" s="42">
        <v>729</v>
      </c>
      <c r="G11" s="28">
        <f t="shared" si="1"/>
        <v>-21</v>
      </c>
      <c r="H11" s="7"/>
    </row>
    <row r="12" spans="2:8" x14ac:dyDescent="0.2">
      <c r="B12" s="5" t="s">
        <v>9</v>
      </c>
      <c r="C12" s="28">
        <v>466</v>
      </c>
      <c r="D12" s="42">
        <v>489</v>
      </c>
      <c r="E12" s="28">
        <f t="shared" si="0"/>
        <v>-23</v>
      </c>
      <c r="F12" s="42">
        <v>483</v>
      </c>
      <c r="G12" s="28">
        <f t="shared" si="1"/>
        <v>-17</v>
      </c>
      <c r="H12" s="7"/>
    </row>
    <row r="13" spans="2:8" x14ac:dyDescent="0.2">
      <c r="B13" s="5" t="s">
        <v>10</v>
      </c>
      <c r="C13" s="28">
        <v>559</v>
      </c>
      <c r="D13" s="42">
        <v>583</v>
      </c>
      <c r="E13" s="28">
        <f t="shared" si="0"/>
        <v>-24</v>
      </c>
      <c r="F13" s="42">
        <v>595</v>
      </c>
      <c r="G13" s="28">
        <f t="shared" si="1"/>
        <v>-36</v>
      </c>
      <c r="H13" s="7"/>
    </row>
    <row r="14" spans="2:8" x14ac:dyDescent="0.2">
      <c r="B14" s="5" t="s">
        <v>11</v>
      </c>
      <c r="C14" s="28">
        <v>725</v>
      </c>
      <c r="D14" s="42">
        <v>745</v>
      </c>
      <c r="E14" s="28">
        <f t="shared" si="0"/>
        <v>-20</v>
      </c>
      <c r="F14" s="42">
        <v>705</v>
      </c>
      <c r="G14" s="28">
        <f t="shared" si="1"/>
        <v>20</v>
      </c>
      <c r="H14" s="7"/>
    </row>
    <row r="15" spans="2:8" x14ac:dyDescent="0.2">
      <c r="B15" s="5" t="s">
        <v>12</v>
      </c>
      <c r="C15" s="28">
        <v>692</v>
      </c>
      <c r="D15" s="42">
        <v>715</v>
      </c>
      <c r="E15" s="28">
        <f t="shared" si="0"/>
        <v>-23</v>
      </c>
      <c r="F15" s="42">
        <v>746</v>
      </c>
      <c r="G15" s="28">
        <f t="shared" si="1"/>
        <v>-54</v>
      </c>
      <c r="H15" s="7"/>
    </row>
    <row r="16" spans="2:8" x14ac:dyDescent="0.2">
      <c r="B16" s="5" t="s">
        <v>13</v>
      </c>
      <c r="C16" s="28">
        <v>677</v>
      </c>
      <c r="D16" s="42">
        <v>717</v>
      </c>
      <c r="E16" s="28">
        <f t="shared" si="0"/>
        <v>-40</v>
      </c>
      <c r="F16" s="42">
        <v>738</v>
      </c>
      <c r="G16" s="28">
        <f t="shared" si="1"/>
        <v>-61</v>
      </c>
      <c r="H16" s="7"/>
    </row>
    <row r="17" spans="2:8" x14ac:dyDescent="0.2">
      <c r="B17" s="5" t="s">
        <v>14</v>
      </c>
      <c r="C17" s="28">
        <v>696</v>
      </c>
      <c r="D17" s="42">
        <v>700</v>
      </c>
      <c r="E17" s="28">
        <f t="shared" si="0"/>
        <v>-4</v>
      </c>
      <c r="F17" s="42">
        <v>723</v>
      </c>
      <c r="G17" s="28">
        <f t="shared" si="1"/>
        <v>-27</v>
      </c>
      <c r="H17" s="7"/>
    </row>
    <row r="18" spans="2:8" x14ac:dyDescent="0.2">
      <c r="B18" s="5" t="s">
        <v>15</v>
      </c>
      <c r="C18" s="28">
        <v>606</v>
      </c>
      <c r="D18" s="42">
        <v>574</v>
      </c>
      <c r="E18" s="28">
        <f t="shared" si="0"/>
        <v>32</v>
      </c>
      <c r="F18" s="42">
        <v>602</v>
      </c>
      <c r="G18" s="28">
        <f t="shared" si="1"/>
        <v>4</v>
      </c>
      <c r="H18" s="7"/>
    </row>
    <row r="19" spans="2:8" x14ac:dyDescent="0.2">
      <c r="B19" s="5" t="s">
        <v>16</v>
      </c>
      <c r="C19" s="28">
        <v>1129</v>
      </c>
      <c r="D19" s="42">
        <v>1141</v>
      </c>
      <c r="E19" s="28">
        <f t="shared" si="0"/>
        <v>-12</v>
      </c>
      <c r="F19" s="42">
        <v>1186</v>
      </c>
      <c r="G19" s="28">
        <f t="shared" si="1"/>
        <v>-57</v>
      </c>
      <c r="H19" s="7"/>
    </row>
    <row r="20" spans="2:8" x14ac:dyDescent="0.2">
      <c r="B20" s="5" t="s">
        <v>17</v>
      </c>
      <c r="C20" s="28">
        <v>625</v>
      </c>
      <c r="D20" s="42">
        <v>643</v>
      </c>
      <c r="E20" s="28">
        <f t="shared" si="0"/>
        <v>-18</v>
      </c>
      <c r="F20" s="42">
        <v>654</v>
      </c>
      <c r="G20" s="28">
        <f t="shared" si="1"/>
        <v>-29</v>
      </c>
      <c r="H20" s="7"/>
    </row>
    <row r="21" spans="2:8" x14ac:dyDescent="0.2">
      <c r="B21" s="5" t="s">
        <v>18</v>
      </c>
      <c r="C21" s="28">
        <v>493</v>
      </c>
      <c r="D21" s="42">
        <v>513</v>
      </c>
      <c r="E21" s="28">
        <f t="shared" si="0"/>
        <v>-20</v>
      </c>
      <c r="F21" s="42">
        <v>512</v>
      </c>
      <c r="G21" s="28">
        <f t="shared" si="1"/>
        <v>-19</v>
      </c>
      <c r="H21" s="7"/>
    </row>
    <row r="22" spans="2:8" x14ac:dyDescent="0.2">
      <c r="B22" s="5" t="s">
        <v>19</v>
      </c>
      <c r="C22" s="28">
        <v>720</v>
      </c>
      <c r="D22" s="42">
        <v>749</v>
      </c>
      <c r="E22" s="28">
        <f t="shared" si="0"/>
        <v>-29</v>
      </c>
      <c r="F22" s="42">
        <v>755</v>
      </c>
      <c r="G22" s="28">
        <f t="shared" si="1"/>
        <v>-35</v>
      </c>
      <c r="H22" s="7"/>
    </row>
    <row r="23" spans="2:8" x14ac:dyDescent="0.2">
      <c r="B23" s="5" t="s">
        <v>20</v>
      </c>
      <c r="C23" s="28">
        <v>338</v>
      </c>
      <c r="D23" s="42">
        <v>362</v>
      </c>
      <c r="E23" s="28">
        <f t="shared" si="0"/>
        <v>-24</v>
      </c>
      <c r="F23" s="42">
        <v>363</v>
      </c>
      <c r="G23" s="28">
        <f t="shared" si="1"/>
        <v>-25</v>
      </c>
      <c r="H23" s="7"/>
    </row>
    <row r="24" spans="2:8" x14ac:dyDescent="0.2">
      <c r="B24" s="5" t="s">
        <v>21</v>
      </c>
      <c r="C24" s="28">
        <v>218</v>
      </c>
      <c r="D24" s="42">
        <v>217</v>
      </c>
      <c r="E24" s="28">
        <f t="shared" si="0"/>
        <v>1</v>
      </c>
      <c r="F24" s="42">
        <v>179</v>
      </c>
      <c r="G24" s="28">
        <f t="shared" si="1"/>
        <v>39</v>
      </c>
      <c r="H24" s="7"/>
    </row>
    <row r="25" spans="2:8" x14ac:dyDescent="0.2">
      <c r="B25" s="5" t="s">
        <v>22</v>
      </c>
      <c r="C25" s="28">
        <v>687</v>
      </c>
      <c r="D25" s="42">
        <v>703</v>
      </c>
      <c r="E25" s="28">
        <f t="shared" si="0"/>
        <v>-16</v>
      </c>
      <c r="F25" s="42">
        <v>752</v>
      </c>
      <c r="G25" s="28">
        <f t="shared" si="1"/>
        <v>-65</v>
      </c>
      <c r="H25" s="7"/>
    </row>
    <row r="26" spans="2:8" x14ac:dyDescent="0.2">
      <c r="B26" s="5" t="s">
        <v>23</v>
      </c>
      <c r="C26" s="28">
        <v>1330</v>
      </c>
      <c r="D26" s="42">
        <v>1335</v>
      </c>
      <c r="E26" s="28">
        <f t="shared" si="0"/>
        <v>-5</v>
      </c>
      <c r="F26" s="42">
        <v>1470</v>
      </c>
      <c r="G26" s="28">
        <f t="shared" si="1"/>
        <v>-140</v>
      </c>
      <c r="H26" s="7"/>
    </row>
    <row r="27" spans="2:8" x14ac:dyDescent="0.2">
      <c r="B27" s="5" t="s">
        <v>24</v>
      </c>
      <c r="C27" s="28">
        <v>299</v>
      </c>
      <c r="D27" s="42">
        <v>296</v>
      </c>
      <c r="E27" s="28">
        <f t="shared" si="0"/>
        <v>3</v>
      </c>
      <c r="F27" s="42">
        <v>320</v>
      </c>
      <c r="G27" s="28">
        <f t="shared" si="1"/>
        <v>-21</v>
      </c>
      <c r="H27" s="7"/>
    </row>
    <row r="28" spans="2:8" ht="15" x14ac:dyDescent="0.25">
      <c r="B28" s="39" t="s">
        <v>25</v>
      </c>
      <c r="C28" s="48">
        <f>SUM(C3:C27)</f>
        <v>16289</v>
      </c>
      <c r="D28" s="44">
        <f>SUM(D3:D27)</f>
        <v>16755</v>
      </c>
      <c r="E28" s="48">
        <f>SUM(E3:E27)</f>
        <v>-466</v>
      </c>
      <c r="F28" s="44">
        <f>SUM(F3:F27)</f>
        <v>17008</v>
      </c>
      <c r="G28" s="48">
        <f>SUM(G3:G27)</f>
        <v>-719</v>
      </c>
      <c r="H28" s="7"/>
    </row>
    <row r="29" spans="2:8" x14ac:dyDescent="0.2">
      <c r="C29" s="19">
        <f>SUM(C3:C27)</f>
        <v>16289</v>
      </c>
      <c r="E29" s="19"/>
      <c r="G29" s="7"/>
    </row>
  </sheetData>
  <printOptions horizontalCentered="1" verticalCentered="1"/>
  <pageMargins left="0" right="0" top="0.31496062992125984" bottom="0" header="0" footer="0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7" style="3" customWidth="1"/>
    <col min="3" max="3" width="25.5703125" style="3" customWidth="1"/>
    <col min="4" max="6" width="16.140625" style="3" customWidth="1"/>
    <col min="7" max="7" width="15.5703125" style="3" customWidth="1"/>
    <col min="8" max="8" width="17.140625" style="3" customWidth="1"/>
    <col min="9" max="9" width="6.5703125" style="3" customWidth="1"/>
    <col min="10" max="18" width="9.140625" style="3"/>
    <col min="19" max="19" width="4.85546875" style="3" customWidth="1"/>
    <col min="20" max="20" width="2.5703125" style="3" customWidth="1"/>
    <col min="21" max="16384" width="9.140625" style="3"/>
  </cols>
  <sheetData>
    <row r="1" spans="2:8" x14ac:dyDescent="0.2">
      <c r="B1" s="2" t="s">
        <v>38</v>
      </c>
    </row>
    <row r="2" spans="2:8" ht="15" x14ac:dyDescent="0.2">
      <c r="C2" s="20"/>
      <c r="D2" s="21"/>
    </row>
    <row r="3" spans="2:8" ht="57" x14ac:dyDescent="0.2">
      <c r="B3" s="43" t="s">
        <v>42</v>
      </c>
      <c r="C3" s="36" t="str">
        <f>T('6pow. 50 r.ż.'!B2)</f>
        <v>powiaty</v>
      </c>
      <c r="D3" s="36" t="str">
        <f>T('6pow. 50 r.ż.'!C2)</f>
        <v>liczba bezrobotnych 50+ stan na 30-04-'24 r.</v>
      </c>
      <c r="E3" s="36" t="str">
        <f>T('6pow. 50 r.ż.'!D2)</f>
        <v>liczba bezrobotnych 50+ stan na 31-03-'24 r.</v>
      </c>
      <c r="F3" s="36" t="str">
        <f>T('6pow. 50 r.ż.'!E2)</f>
        <v>wzrost/spadek do poprzedniego  miesiąca</v>
      </c>
      <c r="G3" s="36" t="str">
        <f>T('6pow. 50 r.ż.'!F2)</f>
        <v>liczba bezrobotnych 50+ stan na 30-04-'23 r.</v>
      </c>
      <c r="H3" s="36" t="str">
        <f>T('6pow. 50 r.ż.'!G2)</f>
        <v>wzrost/spadek do analogicznego okresu ubr.</v>
      </c>
    </row>
    <row r="4" spans="2:8" x14ac:dyDescent="0.2">
      <c r="B4" s="6">
        <f>RANK('6pow. 50 r.ż.'!C3,'6pow. 50 r.ż.'!$C$3:'6pow. 50 r.ż.'!$C$28,1)+COUNTIF('6pow. 50 r.ż.'!$C$3:'6pow. 50 r.ż.'!C3,'6pow. 50 r.ż.'!C3)-1</f>
        <v>2</v>
      </c>
      <c r="C4" s="5" t="str">
        <f>INDEX('6pow. 50 r.ż.'!B3:G28,MATCH(1,B4:B29,0),1)</f>
        <v>Krosno</v>
      </c>
      <c r="D4" s="24">
        <f>INDEX('6pow. 50 r.ż.'!B3:G28,MATCH(1,B4:B29,0),2)</f>
        <v>218</v>
      </c>
      <c r="E4" s="42">
        <f>INDEX('6pow. 50 r.ż.'!B3:G28,MATCH(1,B4:B29,0),3)</f>
        <v>217</v>
      </c>
      <c r="F4" s="6">
        <f>INDEX('6pow. 50 r.ż.'!B3:G28,MATCH(1,B4:B29,0),4)</f>
        <v>1</v>
      </c>
      <c r="G4" s="42">
        <f>INDEX('6pow. 50 r.ż.'!B3:G28,MATCH(1,B4:B29,0),5)</f>
        <v>179</v>
      </c>
      <c r="H4" s="6">
        <f>INDEX('6pow. 50 r.ż.'!B3:G28,MATCH(1,B4:B29,0),6)</f>
        <v>39</v>
      </c>
    </row>
    <row r="5" spans="2:8" x14ac:dyDescent="0.2">
      <c r="B5" s="6">
        <f>RANK('6pow. 50 r.ż.'!C4,'6pow. 50 r.ż.'!$C$3:'6pow. 50 r.ż.'!$C$28,1)+COUNTIF('6pow. 50 r.ż.'!$C$3:'6pow. 50 r.ż.'!C4,'6pow. 50 r.ż.'!C4)-1</f>
        <v>21</v>
      </c>
      <c r="C5" s="5" t="str">
        <f>INDEX('6pow. 50 r.ż.'!B3:G28,MATCH(2,B4:B29,0),1)</f>
        <v>bieszczadzki</v>
      </c>
      <c r="D5" s="6">
        <f>INDEX('6pow. 50 r.ż.'!B3:G28,MATCH(2,B4:B29,0),2)</f>
        <v>239</v>
      </c>
      <c r="E5" s="42">
        <f>INDEX('6pow. 50 r.ż.'!B3:G28,MATCH(2,B4:B29,0),3)</f>
        <v>250</v>
      </c>
      <c r="F5" s="6">
        <f>INDEX('6pow. 50 r.ż.'!B3:G28,MATCH(2,B4:B29,0),4)</f>
        <v>-11</v>
      </c>
      <c r="G5" s="42">
        <f>INDEX('6pow. 50 r.ż.'!B3:G28,MATCH(2,B4:B29,0),5)</f>
        <v>264</v>
      </c>
      <c r="H5" s="6">
        <f>INDEX('6pow. 50 r.ż.'!B3:G28,MATCH(2,B4:B29,0),6)</f>
        <v>-25</v>
      </c>
    </row>
    <row r="6" spans="2:8" x14ac:dyDescent="0.2">
      <c r="B6" s="6">
        <f>RANK('6pow. 50 r.ż.'!C5,'6pow. 50 r.ż.'!$C$3:'6pow. 50 r.ż.'!$C$28,1)+COUNTIF('6pow. 50 r.ż.'!$C$3:'6pow. 50 r.ż.'!C5,'6pow. 50 r.ż.'!C5)-1</f>
        <v>9</v>
      </c>
      <c r="C6" s="5" t="str">
        <f>INDEX('6pow. 50 r.ż.'!B3:G28,MATCH(3,B4:B29,0),1)</f>
        <v>Tarnobrzeg</v>
      </c>
      <c r="D6" s="6">
        <f>INDEX('6pow. 50 r.ż.'!B3:G28,MATCH(3,B4:B29,0),2)</f>
        <v>299</v>
      </c>
      <c r="E6" s="42">
        <f>INDEX('6pow. 50 r.ż.'!B3:G28,MATCH(3,B4:B29,0),3)</f>
        <v>296</v>
      </c>
      <c r="F6" s="6">
        <f>INDEX('6pow. 50 r.ż.'!B3:G28,MATCH(3,B4:B29,0),4)</f>
        <v>3</v>
      </c>
      <c r="G6" s="42">
        <f>INDEX('6pow. 50 r.ż.'!B3:G28,MATCH(3,B4:B29,0),5)</f>
        <v>320</v>
      </c>
      <c r="H6" s="6">
        <f>INDEX('6pow. 50 r.ż.'!B3:G28,MATCH(3,B4:B29,0),6)</f>
        <v>-21</v>
      </c>
    </row>
    <row r="7" spans="2:8" x14ac:dyDescent="0.2">
      <c r="B7" s="6">
        <f>RANK('6pow. 50 r.ż.'!C6,'6pow. 50 r.ż.'!$C$3:'6pow. 50 r.ż.'!$C$28,1)+COUNTIF('6pow. 50 r.ż.'!$C$3:'6pow. 50 r.ż.'!C6,'6pow. 50 r.ż.'!C6)-1</f>
        <v>22</v>
      </c>
      <c r="C7" s="5" t="str">
        <f>INDEX('6pow. 50 r.ż.'!B3:G28,MATCH(4,B4:B29,0),1)</f>
        <v xml:space="preserve">tarnobrzeski </v>
      </c>
      <c r="D7" s="6">
        <f>INDEX('6pow. 50 r.ż.'!B3:G28,MATCH(4,B4:B29,0),2)</f>
        <v>338</v>
      </c>
      <c r="E7" s="42">
        <f>INDEX('6pow. 50 r.ż.'!B3:G28,MATCH(4,B4:B29,0),3)</f>
        <v>362</v>
      </c>
      <c r="F7" s="6">
        <f>INDEX('6pow. 50 r.ż.'!B3:G28,MATCH(4,B4:B29,0),4)</f>
        <v>-24</v>
      </c>
      <c r="G7" s="42">
        <f>INDEX('6pow. 50 r.ż.'!B3:G28,MATCH(4,B4:B29,0),5)</f>
        <v>363</v>
      </c>
      <c r="H7" s="6">
        <f>INDEX('6pow. 50 r.ż.'!B3:G28,MATCH(4,B4:B29,0),6)</f>
        <v>-25</v>
      </c>
    </row>
    <row r="8" spans="2:8" x14ac:dyDescent="0.2">
      <c r="B8" s="6">
        <f>RANK('6pow. 50 r.ż.'!C7,'6pow. 50 r.ż.'!$C$3:'6pow. 50 r.ż.'!$C$28,1)+COUNTIF('6pow. 50 r.ż.'!$C$3:'6pow. 50 r.ż.'!C7,'6pow. 50 r.ż.'!C7)-1</f>
        <v>23</v>
      </c>
      <c r="C8" s="5" t="str">
        <f>INDEX('6pow. 50 r.ż.'!B3:G28,MATCH(5,B4:B29,0),1)</f>
        <v>leski</v>
      </c>
      <c r="D8" s="6">
        <f>INDEX('6pow. 50 r.ż.'!B3:G28,MATCH(5,B4:B29,0),2)</f>
        <v>421</v>
      </c>
      <c r="E8" s="42">
        <f>INDEX('6pow. 50 r.ż.'!B3:G28,MATCH(5,B4:B29,0),3)</f>
        <v>439</v>
      </c>
      <c r="F8" s="6">
        <f>INDEX('6pow. 50 r.ż.'!B3:G28,MATCH(5,B4:B29,0),4)</f>
        <v>-18</v>
      </c>
      <c r="G8" s="42">
        <f>INDEX('6pow. 50 r.ż.'!B3:G28,MATCH(5,B4:B29,0),5)</f>
        <v>423</v>
      </c>
      <c r="H8" s="6">
        <f>INDEX('6pow. 50 r.ż.'!B3:G28,MATCH(5,B4:B29,0),6)</f>
        <v>-2</v>
      </c>
    </row>
    <row r="9" spans="2:8" x14ac:dyDescent="0.2">
      <c r="B9" s="6">
        <f>RANK('6pow. 50 r.ż.'!C8,'6pow. 50 r.ż.'!$C$3:'6pow. 50 r.ż.'!$C$28,1)+COUNTIF('6pow. 50 r.ż.'!$C$3:'6pow. 50 r.ż.'!C8,'6pow. 50 r.ż.'!C8)-1</f>
        <v>6</v>
      </c>
      <c r="C9" s="5" t="str">
        <f>INDEX('6pow. 50 r.ż.'!B3:G28,MATCH(6,B4:B29,0),1)</f>
        <v>kolbuszowski</v>
      </c>
      <c r="D9" s="6">
        <f>INDEX('6pow. 50 r.ż.'!B3:G28,MATCH(6,B4:B29,0),2)</f>
        <v>425</v>
      </c>
      <c r="E9" s="42">
        <f>INDEX('6pow. 50 r.ż.'!B3:G28,MATCH(6,B4:B29,0),3)</f>
        <v>419</v>
      </c>
      <c r="F9" s="6">
        <f>INDEX('6pow. 50 r.ż.'!B3:G28,MATCH(6,B4:B29,0),4)</f>
        <v>6</v>
      </c>
      <c r="G9" s="42">
        <f>INDEX('6pow. 50 r.ż.'!B3:G28,MATCH(6,B4:B29,0),5)</f>
        <v>429</v>
      </c>
      <c r="H9" s="6">
        <f>INDEX('6pow. 50 r.ż.'!B3:G28,MATCH(6,B4:B29,0),6)</f>
        <v>-4</v>
      </c>
    </row>
    <row r="10" spans="2:8" x14ac:dyDescent="0.2">
      <c r="B10" s="6">
        <f>RANK('6pow. 50 r.ż.'!C9,'6pow. 50 r.ż.'!$C$3:'6pow. 50 r.ż.'!$C$28,1)+COUNTIF('6pow. 50 r.ż.'!$C$3:'6pow. 50 r.ż.'!C9,'6pow. 50 r.ż.'!C9)-1</f>
        <v>11</v>
      </c>
      <c r="C10" s="9" t="str">
        <f>INDEX('6pow. 50 r.ż.'!B3:G28,MATCH(7,B4:B29,0),1)</f>
        <v>lubaczowski</v>
      </c>
      <c r="D10" s="6">
        <f>INDEX('6pow. 50 r.ż.'!B3:G28,MATCH(7,B4:B29,0),2)</f>
        <v>466</v>
      </c>
      <c r="E10" s="42">
        <f>INDEX('6pow. 50 r.ż.'!B3:G28,MATCH(7,B4:B29,0),3)</f>
        <v>489</v>
      </c>
      <c r="F10" s="6">
        <f>INDEX('6pow. 50 r.ż.'!B3:G28,MATCH(7,B4:B29,0),4)</f>
        <v>-23</v>
      </c>
      <c r="G10" s="42">
        <f>INDEX('6pow. 50 r.ż.'!B3:G28,MATCH(7,B4:B29,0),5)</f>
        <v>483</v>
      </c>
      <c r="H10" s="6">
        <f>INDEX('6pow. 50 r.ż.'!B3:G28,MATCH(7,B4:B29,0),6)</f>
        <v>-17</v>
      </c>
    </row>
    <row r="11" spans="2:8" x14ac:dyDescent="0.2">
      <c r="B11" s="6">
        <f>RANK('6pow. 50 r.ż.'!C10,'6pow. 50 r.ż.'!$C$3:'6pow. 50 r.ż.'!$C$28,1)+COUNTIF('6pow. 50 r.ż.'!$C$3:'6pow. 50 r.ż.'!C10,'6pow. 50 r.ż.'!C10)-1</f>
        <v>5</v>
      </c>
      <c r="C11" s="5" t="str">
        <f>INDEX('6pow. 50 r.ż.'!B3:G28,MATCH(8,B4:B29,0),1)</f>
        <v>stalowowolski</v>
      </c>
      <c r="D11" s="6">
        <f>INDEX('6pow. 50 r.ż.'!B3:G28,MATCH(8,B4:B29,0),2)</f>
        <v>493</v>
      </c>
      <c r="E11" s="42">
        <f>INDEX('6pow. 50 r.ż.'!B3:G28,MATCH(8,B4:B29,0),3)</f>
        <v>513</v>
      </c>
      <c r="F11" s="6">
        <f>INDEX('6pow. 50 r.ż.'!B3:G28,MATCH(8,B4:B29,0),4)</f>
        <v>-20</v>
      </c>
      <c r="G11" s="42">
        <f>INDEX('6pow. 50 r.ż.'!B3:G28,MATCH(8,B4:B29,0),5)</f>
        <v>512</v>
      </c>
      <c r="H11" s="6">
        <f>INDEX('6pow. 50 r.ż.'!B3:G28,MATCH(8,B4:B29,0),6)</f>
        <v>-19</v>
      </c>
    </row>
    <row r="12" spans="2:8" x14ac:dyDescent="0.2">
      <c r="B12" s="6">
        <f>RANK('6pow. 50 r.ż.'!C11,'6pow. 50 r.ż.'!$C$3:'6pow. 50 r.ż.'!$C$28,1)+COUNTIF('6pow. 50 r.ż.'!$C$3:'6pow. 50 r.ż.'!C11,'6pow. 50 r.ż.'!C11)-1</f>
        <v>18</v>
      </c>
      <c r="C12" s="5" t="str">
        <f>INDEX('6pow. 50 r.ż.'!B3:G28,MATCH(9,B4:B29,0),1)</f>
        <v>dębicki</v>
      </c>
      <c r="D12" s="6">
        <f>INDEX('6pow. 50 r.ż.'!B3:G28,MATCH(9,B4:B29,0),2)</f>
        <v>557</v>
      </c>
      <c r="E12" s="42">
        <f>INDEX('6pow. 50 r.ż.'!B3:G28,MATCH(9,B4:B29,0),3)</f>
        <v>593</v>
      </c>
      <c r="F12" s="6">
        <f>INDEX('6pow. 50 r.ż.'!B3:G28,MATCH(9,B4:B29,0),4)</f>
        <v>-36</v>
      </c>
      <c r="G12" s="42">
        <f>INDEX('6pow. 50 r.ż.'!B3:G28,MATCH(9,B4:B29,0),5)</f>
        <v>590</v>
      </c>
      <c r="H12" s="6">
        <f>INDEX('6pow. 50 r.ż.'!B3:G28,MATCH(9,B4:B29,0),6)</f>
        <v>-33</v>
      </c>
    </row>
    <row r="13" spans="2:8" x14ac:dyDescent="0.2">
      <c r="B13" s="6">
        <f>RANK('6pow. 50 r.ż.'!C12,'6pow. 50 r.ż.'!$C$3:'6pow. 50 r.ż.'!$C$28,1)+COUNTIF('6pow. 50 r.ż.'!$C$3:'6pow. 50 r.ż.'!C12,'6pow. 50 r.ż.'!C12)-1</f>
        <v>7</v>
      </c>
      <c r="C13" s="5" t="str">
        <f>INDEX('6pow. 50 r.ż.'!B3:G28,MATCH(10,B4:B29,0),1)</f>
        <v>łańcucki</v>
      </c>
      <c r="D13" s="6">
        <f>INDEX('6pow. 50 r.ż.'!B3:G28,MATCH(10,B4:B29,0),2)</f>
        <v>559</v>
      </c>
      <c r="E13" s="42">
        <f>INDEX('6pow. 50 r.ż.'!B3:G28,MATCH(10,B4:B29,0),3)</f>
        <v>583</v>
      </c>
      <c r="F13" s="6">
        <f>INDEX('6pow. 50 r.ż.'!B3:G28,MATCH(10,B4:B29,0),4)</f>
        <v>-24</v>
      </c>
      <c r="G13" s="42">
        <f>INDEX('6pow. 50 r.ż.'!B3:G28,MATCH(10,B4:B29,0),5)</f>
        <v>595</v>
      </c>
      <c r="H13" s="6">
        <f>INDEX('6pow. 50 r.ż.'!B3:G28,MATCH(10,B4:B29,0),6)</f>
        <v>-36</v>
      </c>
    </row>
    <row r="14" spans="2:8" x14ac:dyDescent="0.2">
      <c r="B14" s="6">
        <f>RANK('6pow. 50 r.ż.'!C13,'6pow. 50 r.ż.'!$C$3:'6pow. 50 r.ż.'!$C$28,1)+COUNTIF('6pow. 50 r.ż.'!$C$3:'6pow. 50 r.ż.'!C13,'6pow. 50 r.ż.'!C13)-1</f>
        <v>10</v>
      </c>
      <c r="C14" s="5" t="str">
        <f>INDEX('6pow. 50 r.ż.'!B3:G28,MATCH(11,B4:B29,0),1)</f>
        <v>krośnieński</v>
      </c>
      <c r="D14" s="6">
        <f>INDEX('6pow. 50 r.ż.'!B3:G28,MATCH(11,B4:B29,0),2)</f>
        <v>600</v>
      </c>
      <c r="E14" s="42">
        <f>INDEX('6pow. 50 r.ż.'!B3:G28,MATCH(11,B4:B29,0),3)</f>
        <v>613</v>
      </c>
      <c r="F14" s="6">
        <f>INDEX('6pow. 50 r.ż.'!B3:G28,MATCH(11,B4:B29,0),4)</f>
        <v>-13</v>
      </c>
      <c r="G14" s="42">
        <f>INDEX('6pow. 50 r.ż.'!B3:G28,MATCH(11,B4:B29,0),5)</f>
        <v>577</v>
      </c>
      <c r="H14" s="6">
        <f>INDEX('6pow. 50 r.ż.'!B3:G28,MATCH(11,B4:B29,0),6)</f>
        <v>23</v>
      </c>
    </row>
    <row r="15" spans="2:8" x14ac:dyDescent="0.2">
      <c r="B15" s="6">
        <f>RANK('6pow. 50 r.ż.'!C14,'6pow. 50 r.ż.'!$C$3:'6pow. 50 r.ż.'!$C$28,1)+COUNTIF('6pow. 50 r.ż.'!$C$3:'6pow. 50 r.ż.'!C14,'6pow. 50 r.ż.'!C14)-1</f>
        <v>20</v>
      </c>
      <c r="C15" s="5" t="str">
        <f>INDEX('6pow. 50 r.ż.'!B3:G28,MATCH(12,B4:B29,0),1)</f>
        <v>ropczycko-sędziszowski</v>
      </c>
      <c r="D15" s="6">
        <f>INDEX('6pow. 50 r.ż.'!B3:G28,MATCH(12,B4:B29,0),2)</f>
        <v>606</v>
      </c>
      <c r="E15" s="42">
        <f>INDEX('6pow. 50 r.ż.'!B3:G28,MATCH(12,B4:B29,0),3)</f>
        <v>574</v>
      </c>
      <c r="F15" s="6">
        <f>INDEX('6pow. 50 r.ż.'!B3:G28,MATCH(12,B4:B29,0),4)</f>
        <v>32</v>
      </c>
      <c r="G15" s="42">
        <f>INDEX('6pow. 50 r.ż.'!B3:G28,MATCH(12,B4:B29,0),5)</f>
        <v>602</v>
      </c>
      <c r="H15" s="6">
        <f>INDEX('6pow. 50 r.ż.'!B3:G28,MATCH(12,B4:B29,0),6)</f>
        <v>4</v>
      </c>
    </row>
    <row r="16" spans="2:8" x14ac:dyDescent="0.2">
      <c r="B16" s="6">
        <f>RANK('6pow. 50 r.ż.'!C15,'6pow. 50 r.ż.'!$C$3:'6pow. 50 r.ż.'!$C$28,1)+COUNTIF('6pow. 50 r.ż.'!$C$3:'6pow. 50 r.ż.'!C15,'6pow. 50 r.ż.'!C15)-1</f>
        <v>16</v>
      </c>
      <c r="C16" s="5" t="str">
        <f>INDEX('6pow. 50 r.ż.'!B3:G28,MATCH(13,B4:B29,0),1)</f>
        <v>sanocki</v>
      </c>
      <c r="D16" s="6">
        <f>INDEX('6pow. 50 r.ż.'!B3:G28,MATCH(13,B4:B29,0),2)</f>
        <v>625</v>
      </c>
      <c r="E16" s="42">
        <f>INDEX('6pow. 50 r.ż.'!B3:G28,MATCH(13,B4:B29,0),3)</f>
        <v>643</v>
      </c>
      <c r="F16" s="6">
        <f>INDEX('6pow. 50 r.ż.'!B3:G28,MATCH(13,B4:B29,0),4)</f>
        <v>-18</v>
      </c>
      <c r="G16" s="42">
        <f>INDEX('6pow. 50 r.ż.'!B3:G28,MATCH(13,B4:B29,0),5)</f>
        <v>654</v>
      </c>
      <c r="H16" s="6">
        <f>INDEX('6pow. 50 r.ż.'!B3:G28,MATCH(13,B4:B29,0),6)</f>
        <v>-29</v>
      </c>
    </row>
    <row r="17" spans="2:8" x14ac:dyDescent="0.2">
      <c r="B17" s="6">
        <f>RANK('6pow. 50 r.ż.'!C16,'6pow. 50 r.ż.'!$C$3:'6pow. 50 r.ż.'!$C$28,1)+COUNTIF('6pow. 50 r.ż.'!$C$3:'6pow. 50 r.ż.'!C16,'6pow. 50 r.ż.'!C16)-1</f>
        <v>14</v>
      </c>
      <c r="C17" s="5" t="str">
        <f>INDEX('6pow. 50 r.ż.'!B3:G28,MATCH(14,B4:B29,0),1)</f>
        <v>przemyski</v>
      </c>
      <c r="D17" s="6">
        <f>INDEX('6pow. 50 r.ż.'!B3:G28,MATCH(14,B4:B29,0),2)</f>
        <v>677</v>
      </c>
      <c r="E17" s="42">
        <f>INDEX('6pow. 50 r.ż.'!B3:G28,MATCH(14,B4:B29,0),3)</f>
        <v>717</v>
      </c>
      <c r="F17" s="6">
        <f>INDEX('6pow. 50 r.ż.'!B3:G28,MATCH(14,B4:B29,0),4)</f>
        <v>-40</v>
      </c>
      <c r="G17" s="42">
        <f>INDEX('6pow. 50 r.ż.'!B3:G28,MATCH(14,B4:B29,0),5)</f>
        <v>738</v>
      </c>
      <c r="H17" s="6">
        <f>INDEX('6pow. 50 r.ż.'!B3:G28,MATCH(14,B4:B29,0),6)</f>
        <v>-61</v>
      </c>
    </row>
    <row r="18" spans="2:8" x14ac:dyDescent="0.2">
      <c r="B18" s="6">
        <f>RANK('6pow. 50 r.ż.'!C17,'6pow. 50 r.ż.'!$C$3:'6pow. 50 r.ż.'!$C$28,1)+COUNTIF('6pow. 50 r.ż.'!$C$3:'6pow. 50 r.ż.'!C17,'6pow. 50 r.ż.'!C17)-1</f>
        <v>17</v>
      </c>
      <c r="C18" s="5" t="str">
        <f>INDEX('6pow. 50 r.ż.'!B3:G28,MATCH(15,B4:B29,0),1)</f>
        <v>Przemyśl</v>
      </c>
      <c r="D18" s="6">
        <f>INDEX('6pow. 50 r.ż.'!B3:G28,MATCH(15,B4:B29,0),2)</f>
        <v>687</v>
      </c>
      <c r="E18" s="42">
        <f>INDEX('6pow. 50 r.ż.'!B3:G28,MATCH(15,B4:B29,0),3)</f>
        <v>703</v>
      </c>
      <c r="F18" s="6">
        <f>INDEX('6pow. 50 r.ż.'!B3:G28,MATCH(15,B4:B29,0),4)</f>
        <v>-16</v>
      </c>
      <c r="G18" s="42">
        <f>INDEX('6pow. 50 r.ż.'!B3:G28,MATCH(15,B4:B29,0),5)</f>
        <v>752</v>
      </c>
      <c r="H18" s="6">
        <f>INDEX('6pow. 50 r.ż.'!B3:G28,MATCH(15,B4:B29,0),6)</f>
        <v>-65</v>
      </c>
    </row>
    <row r="19" spans="2:8" x14ac:dyDescent="0.2">
      <c r="B19" s="6">
        <f>RANK('6pow. 50 r.ż.'!C18,'6pow. 50 r.ż.'!$C$3:'6pow. 50 r.ż.'!$C$28,1)+COUNTIF('6pow. 50 r.ż.'!$C$3:'6pow. 50 r.ż.'!C18,'6pow. 50 r.ż.'!C18)-1</f>
        <v>12</v>
      </c>
      <c r="C19" s="5" t="str">
        <f>INDEX('6pow. 50 r.ż.'!B3:G28,MATCH(16,B4:B29,0),1)</f>
        <v>niżański</v>
      </c>
      <c r="D19" s="6">
        <f>INDEX('6pow. 50 r.ż.'!B3:G28,MATCH(16,B4:B29,0),2)</f>
        <v>692</v>
      </c>
      <c r="E19" s="42">
        <f>INDEX('6pow. 50 r.ż.'!B3:G28,MATCH(16,B4:B29,0),3)</f>
        <v>715</v>
      </c>
      <c r="F19" s="6">
        <f>INDEX('6pow. 50 r.ż.'!B3:G28,MATCH(16,B4:B29,0),4)</f>
        <v>-23</v>
      </c>
      <c r="G19" s="42">
        <f>INDEX('6pow. 50 r.ż.'!B3:G28,MATCH(16,B4:B29,0),5)</f>
        <v>746</v>
      </c>
      <c r="H19" s="6">
        <f>INDEX('6pow. 50 r.ż.'!B3:G28,MATCH(16,B4:B29,0),6)</f>
        <v>-54</v>
      </c>
    </row>
    <row r="20" spans="2:8" x14ac:dyDescent="0.2">
      <c r="B20" s="6">
        <f>RANK('6pow. 50 r.ż.'!C19,'6pow. 50 r.ż.'!$C$3:'6pow. 50 r.ż.'!$C$28,1)+COUNTIF('6pow. 50 r.ż.'!$C$3:'6pow. 50 r.ż.'!C19,'6pow. 50 r.ż.'!C19)-1</f>
        <v>24</v>
      </c>
      <c r="C20" s="5" t="str">
        <f>INDEX('6pow. 50 r.ż.'!B3:G28,MATCH(17,B4:B29,0),1)</f>
        <v>przeworski</v>
      </c>
      <c r="D20" s="6">
        <f>INDEX('6pow. 50 r.ż.'!B3:G28,MATCH(17,B4:B29,0),2)</f>
        <v>696</v>
      </c>
      <c r="E20" s="42">
        <f>INDEX('6pow. 50 r.ż.'!B3:G28,MATCH(17,B4:B29,0),3)</f>
        <v>700</v>
      </c>
      <c r="F20" s="6">
        <f>INDEX('6pow. 50 r.ż.'!B3:G28,MATCH(17,B4:B29,0),4)</f>
        <v>-4</v>
      </c>
      <c r="G20" s="42">
        <f>INDEX('6pow. 50 r.ż.'!B3:G28,MATCH(17,B4:B29,0),5)</f>
        <v>723</v>
      </c>
      <c r="H20" s="6">
        <f>INDEX('6pow. 50 r.ż.'!B3:G28,MATCH(17,B4:B29,0),6)</f>
        <v>-27</v>
      </c>
    </row>
    <row r="21" spans="2:8" x14ac:dyDescent="0.2">
      <c r="B21" s="6">
        <f>RANK('6pow. 50 r.ż.'!C20,'6pow. 50 r.ż.'!$C$3:'6pow. 50 r.ż.'!$C$28,1)+COUNTIF('6pow. 50 r.ż.'!$C$3:'6pow. 50 r.ż.'!C20,'6pow. 50 r.ż.'!C20)-1</f>
        <v>13</v>
      </c>
      <c r="C21" s="5" t="str">
        <f>INDEX('6pow. 50 r.ż.'!B3:G28,MATCH(18,B4:B29,0),1)</f>
        <v>leżajski</v>
      </c>
      <c r="D21" s="6">
        <f>INDEX('6pow. 50 r.ż.'!B3:G28,MATCH(18,B4:B29,0),2)</f>
        <v>708</v>
      </c>
      <c r="E21" s="42">
        <f>INDEX('6pow. 50 r.ż.'!B3:G28,MATCH(18,B4:B29,0),3)</f>
        <v>750</v>
      </c>
      <c r="F21" s="6">
        <f>INDEX('6pow. 50 r.ż.'!B3:G28,MATCH(18,B4:B29,0),4)</f>
        <v>-42</v>
      </c>
      <c r="G21" s="42">
        <f>INDEX('6pow. 50 r.ż.'!B3:G28,MATCH(18,B4:B29,0),5)</f>
        <v>729</v>
      </c>
      <c r="H21" s="6">
        <f>INDEX('6pow. 50 r.ż.'!B3:G28,MATCH(18,B4:B29,0),6)</f>
        <v>-21</v>
      </c>
    </row>
    <row r="22" spans="2:8" x14ac:dyDescent="0.2">
      <c r="B22" s="6">
        <f>RANK('6pow. 50 r.ż.'!C21,'6pow. 50 r.ż.'!$C$3:'6pow. 50 r.ż.'!$C$28,1)+COUNTIF('6pow. 50 r.ż.'!$C$3:'6pow. 50 r.ż.'!C21,'6pow. 50 r.ż.'!C21)-1</f>
        <v>8</v>
      </c>
      <c r="C22" s="5" t="str">
        <f>INDEX('6pow. 50 r.ż.'!B3:G28,MATCH(19,B4:B29,0),1)</f>
        <v>strzyżowski</v>
      </c>
      <c r="D22" s="6">
        <f>INDEX('6pow. 50 r.ż.'!B3:G28,MATCH(19,B4:B29,0),2)</f>
        <v>720</v>
      </c>
      <c r="E22" s="42">
        <f>INDEX('6pow. 50 r.ż.'!B3:G28,MATCH(19,B4:B29,0),3)</f>
        <v>749</v>
      </c>
      <c r="F22" s="6">
        <f>INDEX('6pow. 50 r.ż.'!B3:G28,MATCH(19,B4:B29,0),4)</f>
        <v>-29</v>
      </c>
      <c r="G22" s="42">
        <f>INDEX('6pow. 50 r.ż.'!B3:G28,MATCH(19,B4:B29,0),5)</f>
        <v>755</v>
      </c>
      <c r="H22" s="6">
        <f>INDEX('6pow. 50 r.ż.'!B3:G28,MATCH(19,B4:B29,0),6)</f>
        <v>-35</v>
      </c>
    </row>
    <row r="23" spans="2:8" x14ac:dyDescent="0.2">
      <c r="B23" s="6">
        <f>RANK('6pow. 50 r.ż.'!C22,'6pow. 50 r.ż.'!$C$3:'6pow. 50 r.ż.'!$C$28,1)+COUNTIF('6pow. 50 r.ż.'!$C$3:'6pow. 50 r.ż.'!C22,'6pow. 50 r.ż.'!C22)-1</f>
        <v>19</v>
      </c>
      <c r="C23" s="5" t="str">
        <f>INDEX('6pow. 50 r.ż.'!B3:G28,MATCH(20,B4:B29,0),1)</f>
        <v>mielecki</v>
      </c>
      <c r="D23" s="6">
        <f>INDEX('6pow. 50 r.ż.'!B3:G28,MATCH(20,B4:B29,0),2)</f>
        <v>725</v>
      </c>
      <c r="E23" s="42">
        <f>INDEX('6pow. 50 r.ż.'!B3:G28,MATCH(20,B4:B29,0),3)</f>
        <v>745</v>
      </c>
      <c r="F23" s="6">
        <f>INDEX('6pow. 50 r.ż.'!B3:G28,MATCH(20,B4:B29,0),4)</f>
        <v>-20</v>
      </c>
      <c r="G23" s="42">
        <f>INDEX('6pow. 50 r.ż.'!B3:G28,MATCH(20,B4:B29,0),5)</f>
        <v>705</v>
      </c>
      <c r="H23" s="6">
        <f>INDEX('6pow. 50 r.ż.'!B3:G28,MATCH(20,B4:B29,0),6)</f>
        <v>20</v>
      </c>
    </row>
    <row r="24" spans="2:8" x14ac:dyDescent="0.2">
      <c r="B24" s="6">
        <f>RANK('6pow. 50 r.ż.'!C23,'6pow. 50 r.ż.'!$C$3:'6pow. 50 r.ż.'!$C$28,1)+COUNTIF('6pow. 50 r.ż.'!$C$3:'6pow. 50 r.ż.'!C23,'6pow. 50 r.ż.'!C23)-1</f>
        <v>4</v>
      </c>
      <c r="C24" s="5" t="str">
        <f>INDEX('6pow. 50 r.ż.'!B3:G28,MATCH(21,B4:B29,0),1)</f>
        <v>brzozowski</v>
      </c>
      <c r="D24" s="6">
        <f>INDEX('6pow. 50 r.ż.'!B3:G28,MATCH(21,B4:B29,0),2)</f>
        <v>902</v>
      </c>
      <c r="E24" s="42">
        <f>INDEX('6pow. 50 r.ż.'!B3:G28,MATCH(21,B4:B29,0),3)</f>
        <v>958</v>
      </c>
      <c r="F24" s="6">
        <f>INDEX('6pow. 50 r.ż.'!B3:G28,MATCH(21,B4:B29,0),4)</f>
        <v>-56</v>
      </c>
      <c r="G24" s="42">
        <f>INDEX('6pow. 50 r.ż.'!B3:G28,MATCH(21,B4:B29,0),5)</f>
        <v>960</v>
      </c>
      <c r="H24" s="6">
        <f>INDEX('6pow. 50 r.ż.'!B3:G28,MATCH(21,B4:B29,0),6)</f>
        <v>-58</v>
      </c>
    </row>
    <row r="25" spans="2:8" x14ac:dyDescent="0.2">
      <c r="B25" s="6">
        <f>RANK('6pow. 50 r.ż.'!C24,'6pow. 50 r.ż.'!$C$3:'6pow. 50 r.ż.'!$C$28,1)+COUNTIF('6pow. 50 r.ż.'!$C$3:'6pow. 50 r.ż.'!C24,'6pow. 50 r.ż.'!C24)-1</f>
        <v>1</v>
      </c>
      <c r="C25" s="5" t="str">
        <f>INDEX('6pow. 50 r.ż.'!B3:G28,MATCH(22,B4:B29,0),1)</f>
        <v>jarosławski</v>
      </c>
      <c r="D25" s="6">
        <f>INDEX('6pow. 50 r.ż.'!B3:G28,MATCH(22,B4:B29,0),2)</f>
        <v>1058</v>
      </c>
      <c r="E25" s="42">
        <f>INDEX('6pow. 50 r.ż.'!B3:G28,MATCH(22,B4:B29,0),3)</f>
        <v>1066</v>
      </c>
      <c r="F25" s="6">
        <f>INDEX('6pow. 50 r.ż.'!B3:G28,MATCH(22,B4:B29,0),4)</f>
        <v>-8</v>
      </c>
      <c r="G25" s="42">
        <f>INDEX('6pow. 50 r.ż.'!B3:G28,MATCH(22,B4:B29,0),5)</f>
        <v>1119</v>
      </c>
      <c r="H25" s="6">
        <f>INDEX('6pow. 50 r.ż.'!B3:G28,MATCH(22,B4:B29,0),6)</f>
        <v>-61</v>
      </c>
    </row>
    <row r="26" spans="2:8" x14ac:dyDescent="0.2">
      <c r="B26" s="6">
        <f>RANK('6pow. 50 r.ż.'!C25,'6pow. 50 r.ż.'!$C$3:'6pow. 50 r.ż.'!$C$28,1)+COUNTIF('6pow. 50 r.ż.'!$C$3:'6pow. 50 r.ż.'!C25,'6pow. 50 r.ż.'!C25)-1</f>
        <v>15</v>
      </c>
      <c r="C26" s="5" t="str">
        <f>INDEX('6pow. 50 r.ż.'!B3:G28,MATCH(23,B4:B29,0),1)</f>
        <v>jasielski</v>
      </c>
      <c r="D26" s="6">
        <f>INDEX('6pow. 50 r.ż.'!B3:G28,MATCH(23,B4:B29,0),2)</f>
        <v>1119</v>
      </c>
      <c r="E26" s="42">
        <f>INDEX('6pow. 50 r.ż.'!B3:G28,MATCH(23,B4:B29,0),3)</f>
        <v>1185</v>
      </c>
      <c r="F26" s="6">
        <f>INDEX('6pow. 50 r.ż.'!B3:G28,MATCH(23,B4:B29,0),4)</f>
        <v>-66</v>
      </c>
      <c r="G26" s="42">
        <f>INDEX('6pow. 50 r.ż.'!B3:G28,MATCH(23,B4:B29,0),5)</f>
        <v>1134</v>
      </c>
      <c r="H26" s="6">
        <f>INDEX('6pow. 50 r.ż.'!B3:G28,MATCH(23,B4:B29,0),6)</f>
        <v>-15</v>
      </c>
    </row>
    <row r="27" spans="2:8" x14ac:dyDescent="0.2">
      <c r="B27" s="6">
        <f>RANK('6pow. 50 r.ż.'!C26,'6pow. 50 r.ż.'!$C$3:'6pow. 50 r.ż.'!$C$28,1)+COUNTIF('6pow. 50 r.ż.'!$C$3:'6pow. 50 r.ż.'!C26,'6pow. 50 r.ż.'!C26)-1</f>
        <v>25</v>
      </c>
      <c r="C27" s="5" t="str">
        <f>INDEX('6pow. 50 r.ż.'!B3:G28,MATCH(24,B4:B29,0),1)</f>
        <v>rzeszowski</v>
      </c>
      <c r="D27" s="6">
        <f>INDEX('6pow. 50 r.ż.'!B3:G28,MATCH(24,B4:B29,0),2)</f>
        <v>1129</v>
      </c>
      <c r="E27" s="42">
        <f>INDEX('6pow. 50 r.ż.'!B3:G28,MATCH(24,B4:B29,0),3)</f>
        <v>1141</v>
      </c>
      <c r="F27" s="6">
        <f>INDEX('6pow. 50 r.ż.'!B3:G28,MATCH(24,B4:B29,0),4)</f>
        <v>-12</v>
      </c>
      <c r="G27" s="42">
        <f>INDEX('6pow. 50 r.ż.'!B3:G28,MATCH(24,B4:B29,0),5)</f>
        <v>1186</v>
      </c>
      <c r="H27" s="6">
        <f>INDEX('6pow. 50 r.ż.'!B3:G28,MATCH(24,B4:B29,0),6)</f>
        <v>-57</v>
      </c>
    </row>
    <row r="28" spans="2:8" x14ac:dyDescent="0.2">
      <c r="B28" s="6">
        <f>RANK('6pow. 50 r.ż.'!C27,'6pow. 50 r.ż.'!$C$3:'6pow. 50 r.ż.'!$C$28,1)+COUNTIF('6pow. 50 r.ż.'!$C$3:'6pow. 50 r.ż.'!C27,'6pow. 50 r.ż.'!C27)-1</f>
        <v>3</v>
      </c>
      <c r="C28" s="5" t="str">
        <f>INDEX('6pow. 50 r.ż.'!B3:G28,MATCH(25,B4:B29,0),1)</f>
        <v>Rzeszów</v>
      </c>
      <c r="D28" s="6">
        <f>INDEX('6pow. 50 r.ż.'!B3:G28,MATCH(25,B4:B29,0),2)</f>
        <v>1330</v>
      </c>
      <c r="E28" s="42">
        <f>INDEX('6pow. 50 r.ż.'!B3:G28,MATCH(25,B4:B29,0),3)</f>
        <v>1335</v>
      </c>
      <c r="F28" s="6">
        <f>INDEX('6pow. 50 r.ż.'!B3:G28,MATCH(25,B4:B29,0),4)</f>
        <v>-5</v>
      </c>
      <c r="G28" s="42">
        <f>INDEX('6pow. 50 r.ż.'!B3:G28,MATCH(25,B4:B29,0),5)</f>
        <v>1470</v>
      </c>
      <c r="H28" s="6">
        <f>INDEX('6pow. 50 r.ż.'!B3:G28,MATCH(25,B4:B29,0),6)</f>
        <v>-140</v>
      </c>
    </row>
    <row r="29" spans="2:8" ht="15" x14ac:dyDescent="0.25">
      <c r="B29" s="40">
        <f>RANK('6pow. 50 r.ż.'!C28,'6pow. 50 r.ż.'!$C$3:'6pow. 50 r.ż.'!$C$28,1)+COUNTIF('6pow. 50 r.ż.'!$C$3:'6pow. 50 r.ż.'!C28,'6pow. 50 r.ż.'!C28)-1</f>
        <v>26</v>
      </c>
      <c r="C29" s="39" t="str">
        <f>INDEX('6pow. 50 r.ż.'!B3:G28,MATCH(26,B4:B29,0),1)</f>
        <v>województwo</v>
      </c>
      <c r="D29" s="40">
        <f>INDEX('6pow. 50 r.ż.'!B3:G28,MATCH(26,B4:B29,0),2)</f>
        <v>16289</v>
      </c>
      <c r="E29" s="44">
        <f>INDEX('6pow. 50 r.ż.'!B3:G28,MATCH(26,B4:B29,0),3)</f>
        <v>16755</v>
      </c>
      <c r="F29" s="40">
        <f>INDEX('6pow. 50 r.ż.'!B3:G28,MATCH(26,B4:B29,0),4)</f>
        <v>-466</v>
      </c>
      <c r="G29" s="44">
        <f>INDEX('6pow. 50 r.ż.'!B3:G28,MATCH(26,B4:B29,0),5)</f>
        <v>17008</v>
      </c>
      <c r="H29" s="40">
        <f>INDEX('6pow. 50 r.ż.'!B3:G28,MATCH(26,B4:B29,0),6)</f>
        <v>-719</v>
      </c>
    </row>
  </sheetData>
  <pageMargins left="0" right="0" top="0.31496062992125984" bottom="0" header="0" footer="0"/>
  <pageSetup paperSize="9" scale="6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CC00"/>
    <pageSetUpPr fitToPage="1"/>
  </sheetPr>
  <dimension ref="B1:H31"/>
  <sheetViews>
    <sheetView zoomScale="80" zoomScaleNormal="80" workbookViewId="0">
      <selection activeCell="B1" sqref="B1"/>
    </sheetView>
  </sheetViews>
  <sheetFormatPr defaultRowHeight="14.25" x14ac:dyDescent="0.2"/>
  <cols>
    <col min="1" max="1" width="2.5703125" style="3" customWidth="1"/>
    <col min="2" max="2" width="25.140625" style="3" customWidth="1"/>
    <col min="3" max="4" width="11.5703125" style="3" customWidth="1"/>
    <col min="5" max="5" width="17.28515625" style="3" customWidth="1"/>
    <col min="6" max="6" width="12" style="3" customWidth="1"/>
    <col min="7" max="7" width="17.140625" style="3" customWidth="1"/>
    <col min="8" max="8" width="3.85546875" style="3" customWidth="1"/>
    <col min="9" max="13" width="0" style="3" hidden="1" customWidth="1"/>
    <col min="14" max="16384" width="9.140625" style="3"/>
  </cols>
  <sheetData>
    <row r="1" spans="2:8" ht="20.25" customHeight="1" x14ac:dyDescent="0.2">
      <c r="B1" s="1" t="s">
        <v>30</v>
      </c>
      <c r="C1" s="25"/>
      <c r="D1" s="25"/>
      <c r="E1" s="25"/>
      <c r="F1" s="25"/>
      <c r="G1" s="25"/>
    </row>
    <row r="2" spans="2:8" ht="57" x14ac:dyDescent="0.2">
      <c r="B2" s="36" t="s">
        <v>27</v>
      </c>
      <c r="C2" s="37" t="s">
        <v>102</v>
      </c>
      <c r="D2" s="38" t="s">
        <v>75</v>
      </c>
      <c r="E2" s="37" t="s">
        <v>28</v>
      </c>
      <c r="F2" s="38" t="s">
        <v>101</v>
      </c>
      <c r="G2" s="37" t="s">
        <v>26</v>
      </c>
    </row>
    <row r="3" spans="2:8" x14ac:dyDescent="0.2">
      <c r="B3" s="5" t="s">
        <v>0</v>
      </c>
      <c r="C3" s="28">
        <v>23</v>
      </c>
      <c r="D3" s="42">
        <v>7</v>
      </c>
      <c r="E3" s="28">
        <f t="shared" ref="E3:E27" si="0">SUM(C3)-D3</f>
        <v>16</v>
      </c>
      <c r="F3" s="42">
        <v>26</v>
      </c>
      <c r="G3" s="28">
        <f t="shared" ref="G3:G27" si="1">SUM(C3)-F3</f>
        <v>-3</v>
      </c>
      <c r="H3" s="7"/>
    </row>
    <row r="4" spans="2:8" x14ac:dyDescent="0.2">
      <c r="B4" s="5" t="s">
        <v>1</v>
      </c>
      <c r="C4" s="28">
        <v>96</v>
      </c>
      <c r="D4" s="42">
        <v>127</v>
      </c>
      <c r="E4" s="28">
        <f t="shared" si="0"/>
        <v>-31</v>
      </c>
      <c r="F4" s="42">
        <v>62</v>
      </c>
      <c r="G4" s="28">
        <f t="shared" si="1"/>
        <v>34</v>
      </c>
      <c r="H4" s="7"/>
    </row>
    <row r="5" spans="2:8" x14ac:dyDescent="0.2">
      <c r="B5" s="5" t="s">
        <v>2</v>
      </c>
      <c r="C5" s="28">
        <v>339</v>
      </c>
      <c r="D5" s="42">
        <v>248</v>
      </c>
      <c r="E5" s="28">
        <f t="shared" si="0"/>
        <v>91</v>
      </c>
      <c r="F5" s="42">
        <v>247</v>
      </c>
      <c r="G5" s="28">
        <f t="shared" si="1"/>
        <v>92</v>
      </c>
      <c r="H5" s="7"/>
    </row>
    <row r="6" spans="2:8" x14ac:dyDescent="0.2">
      <c r="B6" s="5" t="s">
        <v>3</v>
      </c>
      <c r="C6" s="28">
        <v>181</v>
      </c>
      <c r="D6" s="42">
        <v>187</v>
      </c>
      <c r="E6" s="28">
        <f t="shared" si="0"/>
        <v>-6</v>
      </c>
      <c r="F6" s="42">
        <v>153</v>
      </c>
      <c r="G6" s="28">
        <f t="shared" si="1"/>
        <v>28</v>
      </c>
      <c r="H6" s="7"/>
    </row>
    <row r="7" spans="2:8" x14ac:dyDescent="0.2">
      <c r="B7" s="5" t="s">
        <v>4</v>
      </c>
      <c r="C7" s="28">
        <v>254</v>
      </c>
      <c r="D7" s="42">
        <v>228</v>
      </c>
      <c r="E7" s="28">
        <f t="shared" si="0"/>
        <v>26</v>
      </c>
      <c r="F7" s="42">
        <v>200</v>
      </c>
      <c r="G7" s="28">
        <f t="shared" si="1"/>
        <v>54</v>
      </c>
      <c r="H7" s="7"/>
    </row>
    <row r="8" spans="2:8" x14ac:dyDescent="0.2">
      <c r="B8" s="5" t="s">
        <v>5</v>
      </c>
      <c r="C8" s="28">
        <v>91</v>
      </c>
      <c r="D8" s="42">
        <v>117</v>
      </c>
      <c r="E8" s="28">
        <f t="shared" si="0"/>
        <v>-26</v>
      </c>
      <c r="F8" s="42">
        <v>53</v>
      </c>
      <c r="G8" s="28">
        <f t="shared" si="1"/>
        <v>38</v>
      </c>
      <c r="H8" s="7"/>
    </row>
    <row r="9" spans="2:8" x14ac:dyDescent="0.2">
      <c r="B9" s="9" t="s">
        <v>6</v>
      </c>
      <c r="C9" s="28">
        <v>131</v>
      </c>
      <c r="D9" s="42">
        <v>78</v>
      </c>
      <c r="E9" s="28">
        <f t="shared" si="0"/>
        <v>53</v>
      </c>
      <c r="F9" s="42">
        <v>50</v>
      </c>
      <c r="G9" s="28">
        <f t="shared" si="1"/>
        <v>81</v>
      </c>
      <c r="H9" s="7"/>
    </row>
    <row r="10" spans="2:8" x14ac:dyDescent="0.2">
      <c r="B10" s="5" t="s">
        <v>7</v>
      </c>
      <c r="C10" s="28">
        <v>68</v>
      </c>
      <c r="D10" s="42">
        <v>54</v>
      </c>
      <c r="E10" s="28">
        <f t="shared" si="0"/>
        <v>14</v>
      </c>
      <c r="F10" s="42">
        <v>69</v>
      </c>
      <c r="G10" s="28">
        <f t="shared" si="1"/>
        <v>-1</v>
      </c>
      <c r="H10" s="7"/>
    </row>
    <row r="11" spans="2:8" x14ac:dyDescent="0.2">
      <c r="B11" s="5" t="s">
        <v>8</v>
      </c>
      <c r="C11" s="28">
        <v>165</v>
      </c>
      <c r="D11" s="42">
        <v>127</v>
      </c>
      <c r="E11" s="28">
        <f t="shared" si="0"/>
        <v>38</v>
      </c>
      <c r="F11" s="42">
        <v>106</v>
      </c>
      <c r="G11" s="28">
        <f t="shared" si="1"/>
        <v>59</v>
      </c>
      <c r="H11" s="7"/>
    </row>
    <row r="12" spans="2:8" x14ac:dyDescent="0.2">
      <c r="B12" s="5" t="s">
        <v>9</v>
      </c>
      <c r="C12" s="28">
        <v>100</v>
      </c>
      <c r="D12" s="42">
        <v>136</v>
      </c>
      <c r="E12" s="28">
        <f t="shared" si="0"/>
        <v>-36</v>
      </c>
      <c r="F12" s="42">
        <v>147</v>
      </c>
      <c r="G12" s="28">
        <f t="shared" si="1"/>
        <v>-47</v>
      </c>
      <c r="H12" s="7"/>
    </row>
    <row r="13" spans="2:8" x14ac:dyDescent="0.2">
      <c r="B13" s="5" t="s">
        <v>10</v>
      </c>
      <c r="C13" s="28">
        <v>93</v>
      </c>
      <c r="D13" s="42">
        <v>105</v>
      </c>
      <c r="E13" s="28">
        <f t="shared" si="0"/>
        <v>-12</v>
      </c>
      <c r="F13" s="42">
        <v>77</v>
      </c>
      <c r="G13" s="28">
        <f t="shared" si="1"/>
        <v>16</v>
      </c>
      <c r="H13" s="7"/>
    </row>
    <row r="14" spans="2:8" x14ac:dyDescent="0.2">
      <c r="B14" s="5" t="s">
        <v>11</v>
      </c>
      <c r="C14" s="28">
        <v>299</v>
      </c>
      <c r="D14" s="42">
        <v>252</v>
      </c>
      <c r="E14" s="28">
        <f t="shared" si="0"/>
        <v>47</v>
      </c>
      <c r="F14" s="42">
        <v>255</v>
      </c>
      <c r="G14" s="28">
        <f t="shared" si="1"/>
        <v>44</v>
      </c>
      <c r="H14" s="7"/>
    </row>
    <row r="15" spans="2:8" x14ac:dyDescent="0.2">
      <c r="B15" s="5" t="s">
        <v>12</v>
      </c>
      <c r="C15" s="28">
        <v>47</v>
      </c>
      <c r="D15" s="42">
        <v>123</v>
      </c>
      <c r="E15" s="28">
        <f t="shared" si="0"/>
        <v>-76</v>
      </c>
      <c r="F15" s="42">
        <v>51</v>
      </c>
      <c r="G15" s="28">
        <f t="shared" si="1"/>
        <v>-4</v>
      </c>
      <c r="H15" s="7"/>
    </row>
    <row r="16" spans="2:8" x14ac:dyDescent="0.2">
      <c r="B16" s="5" t="s">
        <v>13</v>
      </c>
      <c r="C16" s="28">
        <v>46</v>
      </c>
      <c r="D16" s="42">
        <v>85</v>
      </c>
      <c r="E16" s="28">
        <f t="shared" si="0"/>
        <v>-39</v>
      </c>
      <c r="F16" s="42">
        <v>32</v>
      </c>
      <c r="G16" s="28">
        <f t="shared" si="1"/>
        <v>14</v>
      </c>
      <c r="H16" s="7"/>
    </row>
    <row r="17" spans="2:8" x14ac:dyDescent="0.2">
      <c r="B17" s="5" t="s">
        <v>14</v>
      </c>
      <c r="C17" s="28">
        <v>167</v>
      </c>
      <c r="D17" s="42">
        <v>247</v>
      </c>
      <c r="E17" s="28">
        <f t="shared" si="0"/>
        <v>-80</v>
      </c>
      <c r="F17" s="42">
        <v>330</v>
      </c>
      <c r="G17" s="28">
        <f t="shared" si="1"/>
        <v>-163</v>
      </c>
      <c r="H17" s="7"/>
    </row>
    <row r="18" spans="2:8" x14ac:dyDescent="0.2">
      <c r="B18" s="5" t="s">
        <v>15</v>
      </c>
      <c r="C18" s="28">
        <v>94</v>
      </c>
      <c r="D18" s="42">
        <v>87</v>
      </c>
      <c r="E18" s="28">
        <f t="shared" si="0"/>
        <v>7</v>
      </c>
      <c r="F18" s="42">
        <v>118</v>
      </c>
      <c r="G18" s="28">
        <f t="shared" si="1"/>
        <v>-24</v>
      </c>
      <c r="H18" s="7"/>
    </row>
    <row r="19" spans="2:8" x14ac:dyDescent="0.2">
      <c r="B19" s="5" t="s">
        <v>16</v>
      </c>
      <c r="C19" s="28">
        <v>231</v>
      </c>
      <c r="D19" s="42">
        <v>173</v>
      </c>
      <c r="E19" s="28">
        <f t="shared" si="0"/>
        <v>58</v>
      </c>
      <c r="F19" s="42">
        <v>159</v>
      </c>
      <c r="G19" s="28">
        <f t="shared" si="1"/>
        <v>72</v>
      </c>
      <c r="H19" s="7"/>
    </row>
    <row r="20" spans="2:8" x14ac:dyDescent="0.2">
      <c r="B20" s="5" t="s">
        <v>17</v>
      </c>
      <c r="C20" s="28">
        <v>78</v>
      </c>
      <c r="D20" s="42">
        <v>63</v>
      </c>
      <c r="E20" s="28">
        <f t="shared" si="0"/>
        <v>15</v>
      </c>
      <c r="F20" s="42">
        <v>110</v>
      </c>
      <c r="G20" s="28">
        <f t="shared" si="1"/>
        <v>-32</v>
      </c>
      <c r="H20" s="7"/>
    </row>
    <row r="21" spans="2:8" x14ac:dyDescent="0.2">
      <c r="B21" s="5" t="s">
        <v>18</v>
      </c>
      <c r="C21" s="28">
        <v>130</v>
      </c>
      <c r="D21" s="42">
        <v>169</v>
      </c>
      <c r="E21" s="28">
        <f t="shared" si="0"/>
        <v>-39</v>
      </c>
      <c r="F21" s="42">
        <v>76</v>
      </c>
      <c r="G21" s="28">
        <f t="shared" si="1"/>
        <v>54</v>
      </c>
      <c r="H21" s="7"/>
    </row>
    <row r="22" spans="2:8" x14ac:dyDescent="0.2">
      <c r="B22" s="5" t="s">
        <v>19</v>
      </c>
      <c r="C22" s="28">
        <v>58</v>
      </c>
      <c r="D22" s="42">
        <v>143</v>
      </c>
      <c r="E22" s="28">
        <f t="shared" si="0"/>
        <v>-85</v>
      </c>
      <c r="F22" s="42">
        <v>61</v>
      </c>
      <c r="G22" s="28">
        <f t="shared" si="1"/>
        <v>-3</v>
      </c>
      <c r="H22" s="7"/>
    </row>
    <row r="23" spans="2:8" x14ac:dyDescent="0.2">
      <c r="B23" s="5" t="s">
        <v>20</v>
      </c>
      <c r="C23" s="28">
        <v>69</v>
      </c>
      <c r="D23" s="42">
        <v>64</v>
      </c>
      <c r="E23" s="28">
        <f t="shared" si="0"/>
        <v>5</v>
      </c>
      <c r="F23" s="42">
        <v>140</v>
      </c>
      <c r="G23" s="28">
        <f t="shared" si="1"/>
        <v>-71</v>
      </c>
      <c r="H23" s="7"/>
    </row>
    <row r="24" spans="2:8" x14ac:dyDescent="0.2">
      <c r="B24" s="5" t="s">
        <v>21</v>
      </c>
      <c r="C24" s="28">
        <v>141</v>
      </c>
      <c r="D24" s="42">
        <v>63</v>
      </c>
      <c r="E24" s="28">
        <f t="shared" si="0"/>
        <v>78</v>
      </c>
      <c r="F24" s="42">
        <v>63</v>
      </c>
      <c r="G24" s="28">
        <f t="shared" si="1"/>
        <v>78</v>
      </c>
      <c r="H24" s="7"/>
    </row>
    <row r="25" spans="2:8" x14ac:dyDescent="0.2">
      <c r="B25" s="5" t="s">
        <v>22</v>
      </c>
      <c r="C25" s="28">
        <v>54</v>
      </c>
      <c r="D25" s="42">
        <v>87</v>
      </c>
      <c r="E25" s="28">
        <f t="shared" si="0"/>
        <v>-33</v>
      </c>
      <c r="F25" s="42">
        <v>72</v>
      </c>
      <c r="G25" s="28">
        <f t="shared" si="1"/>
        <v>-18</v>
      </c>
      <c r="H25" s="7"/>
    </row>
    <row r="26" spans="2:8" x14ac:dyDescent="0.2">
      <c r="B26" s="5" t="s">
        <v>23</v>
      </c>
      <c r="C26" s="28">
        <v>584</v>
      </c>
      <c r="D26" s="42">
        <v>487</v>
      </c>
      <c r="E26" s="28">
        <f t="shared" si="0"/>
        <v>97</v>
      </c>
      <c r="F26" s="42">
        <v>507</v>
      </c>
      <c r="G26" s="28">
        <f t="shared" si="1"/>
        <v>77</v>
      </c>
      <c r="H26" s="7"/>
    </row>
    <row r="27" spans="2:8" x14ac:dyDescent="0.2">
      <c r="B27" s="5" t="s">
        <v>24</v>
      </c>
      <c r="C27" s="28">
        <v>82</v>
      </c>
      <c r="D27" s="42">
        <v>52</v>
      </c>
      <c r="E27" s="28">
        <f t="shared" si="0"/>
        <v>30</v>
      </c>
      <c r="F27" s="42">
        <v>114</v>
      </c>
      <c r="G27" s="28">
        <f t="shared" si="1"/>
        <v>-32</v>
      </c>
      <c r="H27" s="7"/>
    </row>
    <row r="28" spans="2:8" ht="17.25" customHeight="1" x14ac:dyDescent="0.25">
      <c r="B28" s="39" t="s">
        <v>25</v>
      </c>
      <c r="C28" s="48">
        <f>SUM(C3:C27)</f>
        <v>3621</v>
      </c>
      <c r="D28" s="44">
        <f>SUM(D3:D27)</f>
        <v>3509</v>
      </c>
      <c r="E28" s="48">
        <f>SUM(E3:E27)</f>
        <v>112</v>
      </c>
      <c r="F28" s="44">
        <f>SUM(F3:F27)</f>
        <v>3278</v>
      </c>
      <c r="G28" s="48">
        <f>SUM(G3:G27)</f>
        <v>343</v>
      </c>
      <c r="H28" s="7"/>
    </row>
    <row r="29" spans="2:8" ht="12" customHeight="1" x14ac:dyDescent="0.2">
      <c r="B29" s="4"/>
      <c r="E29" s="7"/>
      <c r="G29" s="7"/>
    </row>
    <row r="30" spans="2:8" ht="9" customHeight="1" x14ac:dyDescent="0.2">
      <c r="B30" s="4"/>
    </row>
    <row r="31" spans="2:8" ht="12.75" customHeight="1" x14ac:dyDescent="0.2">
      <c r="B31" s="4"/>
    </row>
  </sheetData>
  <printOptions horizontalCentered="1" verticalCentered="1"/>
  <pageMargins left="0" right="0" top="0.31496062992125984" bottom="0" header="0" footer="0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EE9B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.140625" style="3" customWidth="1"/>
    <col min="2" max="2" width="6.5703125" style="3" customWidth="1"/>
    <col min="3" max="3" width="24.42578125" style="3" customWidth="1"/>
    <col min="4" max="4" width="12" style="3" customWidth="1"/>
    <col min="5" max="5" width="11.5703125" style="3" customWidth="1"/>
    <col min="6" max="6" width="17" style="3" customWidth="1"/>
    <col min="7" max="7" width="11.5703125" style="3" customWidth="1"/>
    <col min="8" max="8" width="17.140625" style="3" customWidth="1"/>
    <col min="9" max="9" width="6.7109375" style="3" customWidth="1"/>
    <col min="10" max="11" width="5.85546875" style="3" customWidth="1"/>
    <col min="12" max="18" width="9.140625" style="3"/>
    <col min="19" max="19" width="7.140625" style="3" customWidth="1"/>
    <col min="20" max="20" width="2" style="3" customWidth="1"/>
    <col min="21" max="16384" width="9.140625" style="3"/>
  </cols>
  <sheetData>
    <row r="1" spans="2:8" x14ac:dyDescent="0.2">
      <c r="B1" s="4" t="s">
        <v>30</v>
      </c>
    </row>
    <row r="2" spans="2:8" ht="15" x14ac:dyDescent="0.2">
      <c r="C2" s="20"/>
      <c r="D2" s="21"/>
    </row>
    <row r="3" spans="2:8" ht="57" x14ac:dyDescent="0.2">
      <c r="B3" s="43" t="s">
        <v>42</v>
      </c>
      <c r="C3" s="36" t="str">
        <f>T('7oferty p.'!B2)</f>
        <v>powiaty</v>
      </c>
      <c r="D3" s="36" t="str">
        <f>T('7oferty p.'!C2)</f>
        <v>liczba ofert w 04-'24 r.</v>
      </c>
      <c r="E3" s="36" t="str">
        <f>T('7oferty p.'!D2)</f>
        <v>liczba ofert w 03-'24 r.</v>
      </c>
      <c r="F3" s="36" t="str">
        <f>T('7oferty p.'!E2)</f>
        <v>wzrost/spadek do poprzedniego  miesiąca</v>
      </c>
      <c r="G3" s="36" t="str">
        <f>T('7oferty p.'!F2)</f>
        <v>liczba ofert w 04-'23 r.</v>
      </c>
      <c r="H3" s="36" t="str">
        <f>T('7oferty p.'!G2)</f>
        <v>wzrost/spadek do analogicznego okresu ubr.</v>
      </c>
    </row>
    <row r="4" spans="2:8" x14ac:dyDescent="0.2">
      <c r="B4" s="6">
        <f>RANK('7oferty p.'!C3,'7oferty p.'!$C$3:'7oferty p.'!$C$28,1)+COUNTIF('7oferty p.'!$C$3:'7oferty p.'!C3,'7oferty p.'!C3)-1</f>
        <v>1</v>
      </c>
      <c r="C4" s="5" t="str">
        <f>INDEX('7oferty p.'!B3:G28,MATCH(1,B4:B29,0),1)</f>
        <v>bieszczadzki</v>
      </c>
      <c r="D4" s="24">
        <f>INDEX('7oferty p.'!B3:G28,MATCH(1,B4:B29,0),2)</f>
        <v>23</v>
      </c>
      <c r="E4" s="42">
        <f>INDEX('7oferty p.'!B3:G28,MATCH(1,B4:B29,0),3)</f>
        <v>7</v>
      </c>
      <c r="F4" s="6">
        <f>INDEX('7oferty p.'!B3:G28,MATCH(1,B4:B29,0),4)</f>
        <v>16</v>
      </c>
      <c r="G4" s="42">
        <f>INDEX('7oferty p.'!B3:G28,MATCH(1,B4:B29,0),5)</f>
        <v>26</v>
      </c>
      <c r="H4" s="6">
        <f>INDEX('7oferty p.'!B3:G28,MATCH(1,B4:B29,0),6)</f>
        <v>-3</v>
      </c>
    </row>
    <row r="5" spans="2:8" x14ac:dyDescent="0.2">
      <c r="B5" s="6">
        <f>RANK('7oferty p.'!C4,'7oferty p.'!$C$3:'7oferty p.'!$C$28,1)+COUNTIF('7oferty p.'!$C$3:'7oferty p.'!C4,'7oferty p.'!C4)-1</f>
        <v>13</v>
      </c>
      <c r="C5" s="5" t="str">
        <f>INDEX('7oferty p.'!B3:G28,MATCH(2,B4:B29,0),1)</f>
        <v>przemyski</v>
      </c>
      <c r="D5" s="6">
        <f>INDEX('7oferty p.'!B3:G28,MATCH(2,B4:B29,0),2)</f>
        <v>46</v>
      </c>
      <c r="E5" s="42">
        <f>INDEX('7oferty p.'!B3:G28,MATCH(2,B4:B29,0),3)</f>
        <v>85</v>
      </c>
      <c r="F5" s="6">
        <f>INDEX('7oferty p.'!B3:G28,MATCH(2,B4:B29,0),4)</f>
        <v>-39</v>
      </c>
      <c r="G5" s="42">
        <f>INDEX('7oferty p.'!B3:G28,MATCH(2,B4:B29,0),5)</f>
        <v>32</v>
      </c>
      <c r="H5" s="6">
        <f>INDEX('7oferty p.'!B3:G28,MATCH(2,B4:B29,0),6)</f>
        <v>14</v>
      </c>
    </row>
    <row r="6" spans="2:8" x14ac:dyDescent="0.2">
      <c r="B6" s="6">
        <f>RANK('7oferty p.'!C5,'7oferty p.'!$C$3:'7oferty p.'!$C$28,1)+COUNTIF('7oferty p.'!$C$3:'7oferty p.'!C5,'7oferty p.'!C5)-1</f>
        <v>24</v>
      </c>
      <c r="C6" s="5" t="str">
        <f>INDEX('7oferty p.'!B3:G28,MATCH(3,B4:B29,0),1)</f>
        <v>niżański</v>
      </c>
      <c r="D6" s="6">
        <f>INDEX('7oferty p.'!B3:G28,MATCH(3,B4:B29,0),2)</f>
        <v>47</v>
      </c>
      <c r="E6" s="42">
        <f>INDEX('7oferty p.'!B3:G28,MATCH(3,B4:B29,0),3)</f>
        <v>123</v>
      </c>
      <c r="F6" s="6">
        <f>INDEX('7oferty p.'!B3:G28,MATCH(3,B4:B29,0),4)</f>
        <v>-76</v>
      </c>
      <c r="G6" s="42">
        <f>INDEX('7oferty p.'!B3:G28,MATCH(3,B4:B29,0),5)</f>
        <v>51</v>
      </c>
      <c r="H6" s="6">
        <f>INDEX('7oferty p.'!B3:G28,MATCH(3,B4:B29,0),6)</f>
        <v>-4</v>
      </c>
    </row>
    <row r="7" spans="2:8" x14ac:dyDescent="0.2">
      <c r="B7" s="6">
        <f>RANK('7oferty p.'!C6,'7oferty p.'!$C$3:'7oferty p.'!$C$28,1)+COUNTIF('7oferty p.'!$C$3:'7oferty p.'!C6,'7oferty p.'!C6)-1</f>
        <v>20</v>
      </c>
      <c r="C7" s="5" t="str">
        <f>INDEX('7oferty p.'!B3:G28,MATCH(4,B4:B29,0),1)</f>
        <v>Przemyśl</v>
      </c>
      <c r="D7" s="6">
        <f>INDEX('7oferty p.'!B3:G28,MATCH(4,B4:B29,0),2)</f>
        <v>54</v>
      </c>
      <c r="E7" s="42">
        <f>INDEX('7oferty p.'!B3:G28,MATCH(4,B4:B29,0),3)</f>
        <v>87</v>
      </c>
      <c r="F7" s="6">
        <f>INDEX('7oferty p.'!B3:G28,MATCH(4,B4:B29,0),4)</f>
        <v>-33</v>
      </c>
      <c r="G7" s="42">
        <f>INDEX('7oferty p.'!B3:G28,MATCH(4,B4:B29,0),5)</f>
        <v>72</v>
      </c>
      <c r="H7" s="6">
        <f>INDEX('7oferty p.'!B3:G28,MATCH(4,B4:B29,0),6)</f>
        <v>-18</v>
      </c>
    </row>
    <row r="8" spans="2:8" x14ac:dyDescent="0.2">
      <c r="B8" s="6">
        <f>RANK('7oferty p.'!C7,'7oferty p.'!$C$3:'7oferty p.'!$C$28,1)+COUNTIF('7oferty p.'!$C$3:'7oferty p.'!C7,'7oferty p.'!C7)-1</f>
        <v>22</v>
      </c>
      <c r="C8" s="5" t="str">
        <f>INDEX('7oferty p.'!B3:G28,MATCH(5,B4:B29,0),1)</f>
        <v>strzyżowski</v>
      </c>
      <c r="D8" s="6">
        <f>INDEX('7oferty p.'!B3:G28,MATCH(5,B4:B29,0),2)</f>
        <v>58</v>
      </c>
      <c r="E8" s="42">
        <f>INDEX('7oferty p.'!B3:G28,MATCH(5,B4:B29,0),3)</f>
        <v>143</v>
      </c>
      <c r="F8" s="6">
        <f>INDEX('7oferty p.'!B3:G28,MATCH(5,B4:B29,0),4)</f>
        <v>-85</v>
      </c>
      <c r="G8" s="42">
        <f>INDEX('7oferty p.'!B3:G28,MATCH(5,B4:B29,0),5)</f>
        <v>61</v>
      </c>
      <c r="H8" s="6">
        <f>INDEX('7oferty p.'!B3:G28,MATCH(5,B4:B29,0),6)</f>
        <v>-3</v>
      </c>
    </row>
    <row r="9" spans="2:8" x14ac:dyDescent="0.2">
      <c r="B9" s="6">
        <f>RANK('7oferty p.'!C8,'7oferty p.'!$C$3:'7oferty p.'!$C$28,1)+COUNTIF('7oferty p.'!$C$3:'7oferty p.'!C8,'7oferty p.'!C8)-1</f>
        <v>10</v>
      </c>
      <c r="C9" s="5" t="str">
        <f>INDEX('7oferty p.'!B3:G28,MATCH(6,B4:B29,0),1)</f>
        <v>leski</v>
      </c>
      <c r="D9" s="6">
        <f>INDEX('7oferty p.'!B3:G28,MATCH(6,B4:B29,0),2)</f>
        <v>68</v>
      </c>
      <c r="E9" s="42">
        <f>INDEX('7oferty p.'!B3:G28,MATCH(6,B4:B29,0),3)</f>
        <v>54</v>
      </c>
      <c r="F9" s="6">
        <f>INDEX('7oferty p.'!B3:G28,MATCH(6,B4:B29,0),4)</f>
        <v>14</v>
      </c>
      <c r="G9" s="42">
        <f>INDEX('7oferty p.'!B3:G28,MATCH(6,B4:B29,0),5)</f>
        <v>69</v>
      </c>
      <c r="H9" s="6">
        <f>INDEX('7oferty p.'!B3:G28,MATCH(6,B4:B29,0),6)</f>
        <v>-1</v>
      </c>
    </row>
    <row r="10" spans="2:8" x14ac:dyDescent="0.2">
      <c r="B10" s="6">
        <f>RANK('7oferty p.'!C9,'7oferty p.'!$C$3:'7oferty p.'!$C$28,1)+COUNTIF('7oferty p.'!$C$3:'7oferty p.'!C9,'7oferty p.'!C9)-1</f>
        <v>16</v>
      </c>
      <c r="C10" s="9" t="str">
        <f>INDEX('7oferty p.'!B3:G28,MATCH(7,B4:B29,0),1)</f>
        <v xml:space="preserve">tarnobrzeski </v>
      </c>
      <c r="D10" s="6">
        <f>INDEX('7oferty p.'!B3:G28,MATCH(7,B4:B29,0),2)</f>
        <v>69</v>
      </c>
      <c r="E10" s="42">
        <f>INDEX('7oferty p.'!B3:G28,MATCH(7,B4:B29,0),3)</f>
        <v>64</v>
      </c>
      <c r="F10" s="6">
        <f>INDEX('7oferty p.'!B3:G28,MATCH(7,B4:B29,0),4)</f>
        <v>5</v>
      </c>
      <c r="G10" s="42">
        <f>INDEX('7oferty p.'!B3:G28,MATCH(7,B4:B29,0),5)</f>
        <v>140</v>
      </c>
      <c r="H10" s="6">
        <f>INDEX('7oferty p.'!B3:G28,MATCH(7,B4:B29,0),6)</f>
        <v>-71</v>
      </c>
    </row>
    <row r="11" spans="2:8" x14ac:dyDescent="0.2">
      <c r="B11" s="6">
        <f>RANK('7oferty p.'!C10,'7oferty p.'!$C$3:'7oferty p.'!$C$28,1)+COUNTIF('7oferty p.'!$C$3:'7oferty p.'!C10,'7oferty p.'!C10)-1</f>
        <v>6</v>
      </c>
      <c r="C11" s="5" t="str">
        <f>INDEX('7oferty p.'!B3:G28,MATCH(8,B4:B29,0),1)</f>
        <v>sanocki</v>
      </c>
      <c r="D11" s="6">
        <f>INDEX('7oferty p.'!B3:G28,MATCH(8,B4:B29,0),2)</f>
        <v>78</v>
      </c>
      <c r="E11" s="42">
        <f>INDEX('7oferty p.'!B3:G28,MATCH(8,B4:B29,0),3)</f>
        <v>63</v>
      </c>
      <c r="F11" s="6">
        <f>INDEX('7oferty p.'!B3:G28,MATCH(8,B4:B29,0),4)</f>
        <v>15</v>
      </c>
      <c r="G11" s="42">
        <f>INDEX('7oferty p.'!B3:G28,MATCH(8,B4:B29,0),5)</f>
        <v>110</v>
      </c>
      <c r="H11" s="6">
        <f>INDEX('7oferty p.'!B3:G28,MATCH(8,B4:B29,0),6)</f>
        <v>-32</v>
      </c>
    </row>
    <row r="12" spans="2:8" x14ac:dyDescent="0.2">
      <c r="B12" s="6">
        <f>RANK('7oferty p.'!C11,'7oferty p.'!$C$3:'7oferty p.'!$C$28,1)+COUNTIF('7oferty p.'!$C$3:'7oferty p.'!C11,'7oferty p.'!C11)-1</f>
        <v>18</v>
      </c>
      <c r="C12" s="5" t="str">
        <f>INDEX('7oferty p.'!B3:G28,MATCH(9,B4:B29,0),1)</f>
        <v>Tarnobrzeg</v>
      </c>
      <c r="D12" s="6">
        <f>INDEX('7oferty p.'!B3:G28,MATCH(9,B4:B29,0),2)</f>
        <v>82</v>
      </c>
      <c r="E12" s="42">
        <f>INDEX('7oferty p.'!B3:G28,MATCH(9,B4:B29,0),3)</f>
        <v>52</v>
      </c>
      <c r="F12" s="6">
        <f>INDEX('7oferty p.'!B3:G28,MATCH(9,B4:B29,0),4)</f>
        <v>30</v>
      </c>
      <c r="G12" s="42">
        <f>INDEX('7oferty p.'!B3:G28,MATCH(9,B4:B29,0),5)</f>
        <v>114</v>
      </c>
      <c r="H12" s="6">
        <f>INDEX('7oferty p.'!B3:G28,MATCH(9,B4:B29,0),6)</f>
        <v>-32</v>
      </c>
    </row>
    <row r="13" spans="2:8" x14ac:dyDescent="0.2">
      <c r="B13" s="6">
        <f>RANK('7oferty p.'!C12,'7oferty p.'!$C$3:'7oferty p.'!$C$28,1)+COUNTIF('7oferty p.'!$C$3:'7oferty p.'!C12,'7oferty p.'!C12)-1</f>
        <v>14</v>
      </c>
      <c r="C13" s="5" t="str">
        <f>INDEX('7oferty p.'!B3:G28,MATCH(10,B4:B29,0),1)</f>
        <v>kolbuszowski</v>
      </c>
      <c r="D13" s="6">
        <f>INDEX('7oferty p.'!B3:G28,MATCH(10,B4:B29,0),2)</f>
        <v>91</v>
      </c>
      <c r="E13" s="42">
        <f>INDEX('7oferty p.'!B3:G28,MATCH(10,B4:B29,0),3)</f>
        <v>117</v>
      </c>
      <c r="F13" s="6">
        <f>INDEX('7oferty p.'!B3:G28,MATCH(10,B4:B29,0),4)</f>
        <v>-26</v>
      </c>
      <c r="G13" s="42">
        <f>INDEX('7oferty p.'!B3:G28,MATCH(10,B4:B29,0),5)</f>
        <v>53</v>
      </c>
      <c r="H13" s="6">
        <f>INDEX('7oferty p.'!B3:G28,MATCH(10,B4:B29,0),6)</f>
        <v>38</v>
      </c>
    </row>
    <row r="14" spans="2:8" x14ac:dyDescent="0.2">
      <c r="B14" s="6">
        <f>RANK('7oferty p.'!C13,'7oferty p.'!$C$3:'7oferty p.'!$C$28,1)+COUNTIF('7oferty p.'!$C$3:'7oferty p.'!C13,'7oferty p.'!C13)-1</f>
        <v>11</v>
      </c>
      <c r="C14" s="5" t="str">
        <f>INDEX('7oferty p.'!B3:G28,MATCH(11,B4:B29,0),1)</f>
        <v>łańcucki</v>
      </c>
      <c r="D14" s="6">
        <f>INDEX('7oferty p.'!B3:G28,MATCH(11,B4:B29,0),2)</f>
        <v>93</v>
      </c>
      <c r="E14" s="42">
        <f>INDEX('7oferty p.'!B3:G28,MATCH(11,B4:B29,0),3)</f>
        <v>105</v>
      </c>
      <c r="F14" s="6">
        <f>INDEX('7oferty p.'!B3:G28,MATCH(11,B4:B29,0),4)</f>
        <v>-12</v>
      </c>
      <c r="G14" s="42">
        <f>INDEX('7oferty p.'!B3:G28,MATCH(11,B4:B29,0),5)</f>
        <v>77</v>
      </c>
      <c r="H14" s="6">
        <f>INDEX('7oferty p.'!B3:G28,MATCH(11,B4:B29,0),6)</f>
        <v>16</v>
      </c>
    </row>
    <row r="15" spans="2:8" x14ac:dyDescent="0.2">
      <c r="B15" s="6">
        <f>RANK('7oferty p.'!C14,'7oferty p.'!$C$3:'7oferty p.'!$C$28,1)+COUNTIF('7oferty p.'!$C$3:'7oferty p.'!C14,'7oferty p.'!C14)-1</f>
        <v>23</v>
      </c>
      <c r="C15" s="5" t="str">
        <f>INDEX('7oferty p.'!B3:G28,MATCH(12,B4:B29,0),1)</f>
        <v>ropczycko-sędziszowski</v>
      </c>
      <c r="D15" s="6">
        <f>INDEX('7oferty p.'!B3:G28,MATCH(12,B4:B29,0),2)</f>
        <v>94</v>
      </c>
      <c r="E15" s="42">
        <f>INDEX('7oferty p.'!B3:G28,MATCH(12,B4:B29,0),3)</f>
        <v>87</v>
      </c>
      <c r="F15" s="6">
        <f>INDEX('7oferty p.'!B3:G28,MATCH(12,B4:B29,0),4)</f>
        <v>7</v>
      </c>
      <c r="G15" s="42">
        <f>INDEX('7oferty p.'!B3:G28,MATCH(12,B4:B29,0),5)</f>
        <v>118</v>
      </c>
      <c r="H15" s="6">
        <f>INDEX('7oferty p.'!B3:G28,MATCH(12,B4:B29,0),6)</f>
        <v>-24</v>
      </c>
    </row>
    <row r="16" spans="2:8" x14ac:dyDescent="0.2">
      <c r="B16" s="6">
        <f>RANK('7oferty p.'!C15,'7oferty p.'!$C$3:'7oferty p.'!$C$28,1)+COUNTIF('7oferty p.'!$C$3:'7oferty p.'!C15,'7oferty p.'!C15)-1</f>
        <v>3</v>
      </c>
      <c r="C16" s="5" t="str">
        <f>INDEX('7oferty p.'!B3:G28,MATCH(13,B4:B29,0),1)</f>
        <v>brzozowski</v>
      </c>
      <c r="D16" s="6">
        <f>INDEX('7oferty p.'!B3:G28,MATCH(13,B4:B29,0),2)</f>
        <v>96</v>
      </c>
      <c r="E16" s="42">
        <f>INDEX('7oferty p.'!B3:G28,MATCH(13,B4:B29,0),3)</f>
        <v>127</v>
      </c>
      <c r="F16" s="6">
        <f>INDEX('7oferty p.'!B3:G28,MATCH(13,B4:B29,0),4)</f>
        <v>-31</v>
      </c>
      <c r="G16" s="42">
        <f>INDEX('7oferty p.'!B3:G28,MATCH(13,B4:B29,0),5)</f>
        <v>62</v>
      </c>
      <c r="H16" s="6">
        <f>INDEX('7oferty p.'!B3:G28,MATCH(13,B4:B29,0),6)</f>
        <v>34</v>
      </c>
    </row>
    <row r="17" spans="2:8" x14ac:dyDescent="0.2">
      <c r="B17" s="6">
        <f>RANK('7oferty p.'!C16,'7oferty p.'!$C$3:'7oferty p.'!$C$28,1)+COUNTIF('7oferty p.'!$C$3:'7oferty p.'!C16,'7oferty p.'!C16)-1</f>
        <v>2</v>
      </c>
      <c r="C17" s="5" t="str">
        <f>INDEX('7oferty p.'!B3:G28,MATCH(14,B4:B29,0),1)</f>
        <v>lubaczowski</v>
      </c>
      <c r="D17" s="6">
        <f>INDEX('7oferty p.'!B3:G28,MATCH(14,B4:B29,0),2)</f>
        <v>100</v>
      </c>
      <c r="E17" s="42">
        <f>INDEX('7oferty p.'!B3:G28,MATCH(14,B4:B29,0),3)</f>
        <v>136</v>
      </c>
      <c r="F17" s="6">
        <f>INDEX('7oferty p.'!B3:G28,MATCH(14,B4:B29,0),4)</f>
        <v>-36</v>
      </c>
      <c r="G17" s="42">
        <f>INDEX('7oferty p.'!B3:G28,MATCH(14,B4:B29,0),5)</f>
        <v>147</v>
      </c>
      <c r="H17" s="6">
        <f>INDEX('7oferty p.'!B3:G28,MATCH(14,B4:B29,0),6)</f>
        <v>-47</v>
      </c>
    </row>
    <row r="18" spans="2:8" x14ac:dyDescent="0.2">
      <c r="B18" s="6">
        <f>RANK('7oferty p.'!C17,'7oferty p.'!$C$3:'7oferty p.'!$C$28,1)+COUNTIF('7oferty p.'!$C$3:'7oferty p.'!C17,'7oferty p.'!C17)-1</f>
        <v>19</v>
      </c>
      <c r="C18" s="5" t="str">
        <f>INDEX('7oferty p.'!B3:G28,MATCH(15,B4:B29,0),1)</f>
        <v>stalowowolski</v>
      </c>
      <c r="D18" s="6">
        <f>INDEX('7oferty p.'!B3:G28,MATCH(15,B4:B29,0),2)</f>
        <v>130</v>
      </c>
      <c r="E18" s="42">
        <f>INDEX('7oferty p.'!B3:G28,MATCH(15,B4:B29,0),3)</f>
        <v>169</v>
      </c>
      <c r="F18" s="6">
        <f>INDEX('7oferty p.'!B3:G28,MATCH(15,B4:B29,0),4)</f>
        <v>-39</v>
      </c>
      <c r="G18" s="42">
        <f>INDEX('7oferty p.'!B3:G28,MATCH(15,B4:B29,0),5)</f>
        <v>76</v>
      </c>
      <c r="H18" s="6">
        <f>INDEX('7oferty p.'!B3:G28,MATCH(15,B4:B29,0),6)</f>
        <v>54</v>
      </c>
    </row>
    <row r="19" spans="2:8" x14ac:dyDescent="0.2">
      <c r="B19" s="6">
        <f>RANK('7oferty p.'!C18,'7oferty p.'!$C$3:'7oferty p.'!$C$28,1)+COUNTIF('7oferty p.'!$C$3:'7oferty p.'!C18,'7oferty p.'!C18)-1</f>
        <v>12</v>
      </c>
      <c r="C19" s="5" t="str">
        <f>INDEX('7oferty p.'!B3:G28,MATCH(16,B4:B29,0),1)</f>
        <v>krośnieński</v>
      </c>
      <c r="D19" s="6">
        <f>INDEX('7oferty p.'!B3:G28,MATCH(16,B4:B29,0),2)</f>
        <v>131</v>
      </c>
      <c r="E19" s="42">
        <f>INDEX('7oferty p.'!B3:G28,MATCH(16,B4:B29,0),3)</f>
        <v>78</v>
      </c>
      <c r="F19" s="6">
        <f>INDEX('7oferty p.'!B3:G28,MATCH(16,B4:B29,0),4)</f>
        <v>53</v>
      </c>
      <c r="G19" s="42">
        <f>INDEX('7oferty p.'!B3:G28,MATCH(16,B4:B29,0),5)</f>
        <v>50</v>
      </c>
      <c r="H19" s="6">
        <f>INDEX('7oferty p.'!B3:G28,MATCH(16,B4:B29,0),6)</f>
        <v>81</v>
      </c>
    </row>
    <row r="20" spans="2:8" x14ac:dyDescent="0.2">
      <c r="B20" s="6">
        <f>RANK('7oferty p.'!C19,'7oferty p.'!$C$3:'7oferty p.'!$C$28,1)+COUNTIF('7oferty p.'!$C$3:'7oferty p.'!C19,'7oferty p.'!C19)-1</f>
        <v>21</v>
      </c>
      <c r="C20" s="5" t="str">
        <f>INDEX('7oferty p.'!B3:G28,MATCH(17,B4:B29,0),1)</f>
        <v>Krosno</v>
      </c>
      <c r="D20" s="6">
        <f>INDEX('7oferty p.'!B3:G28,MATCH(17,B4:B29,0),2)</f>
        <v>141</v>
      </c>
      <c r="E20" s="42">
        <f>INDEX('7oferty p.'!B3:G28,MATCH(17,B4:B29,0),3)</f>
        <v>63</v>
      </c>
      <c r="F20" s="6">
        <f>INDEX('7oferty p.'!B3:G28,MATCH(17,B4:B29,0),4)</f>
        <v>78</v>
      </c>
      <c r="G20" s="42">
        <f>INDEX('7oferty p.'!B3:G28,MATCH(17,B4:B29,0),5)</f>
        <v>63</v>
      </c>
      <c r="H20" s="6">
        <f>INDEX('7oferty p.'!B3:G28,MATCH(17,B4:B29,0),6)</f>
        <v>78</v>
      </c>
    </row>
    <row r="21" spans="2:8" x14ac:dyDescent="0.2">
      <c r="B21" s="6">
        <f>RANK('7oferty p.'!C20,'7oferty p.'!$C$3:'7oferty p.'!$C$28,1)+COUNTIF('7oferty p.'!$C$3:'7oferty p.'!C20,'7oferty p.'!C20)-1</f>
        <v>8</v>
      </c>
      <c r="C21" s="5" t="str">
        <f>INDEX('7oferty p.'!B3:G28,MATCH(18,B4:B29,0),1)</f>
        <v>leżajski</v>
      </c>
      <c r="D21" s="6">
        <f>INDEX('7oferty p.'!B3:G28,MATCH(18,B4:B29,0),2)</f>
        <v>165</v>
      </c>
      <c r="E21" s="42">
        <f>INDEX('7oferty p.'!B3:G28,MATCH(18,B4:B29,0),3)</f>
        <v>127</v>
      </c>
      <c r="F21" s="6">
        <f>INDEX('7oferty p.'!B3:G28,MATCH(18,B4:B29,0),4)</f>
        <v>38</v>
      </c>
      <c r="G21" s="42">
        <f>INDEX('7oferty p.'!B3:G28,MATCH(18,B4:B29,0),5)</f>
        <v>106</v>
      </c>
      <c r="H21" s="6">
        <f>INDEX('7oferty p.'!B3:G28,MATCH(18,B4:B29,0),6)</f>
        <v>59</v>
      </c>
    </row>
    <row r="22" spans="2:8" x14ac:dyDescent="0.2">
      <c r="B22" s="6">
        <f>RANK('7oferty p.'!C21,'7oferty p.'!$C$3:'7oferty p.'!$C$28,1)+COUNTIF('7oferty p.'!$C$3:'7oferty p.'!C21,'7oferty p.'!C21)-1</f>
        <v>15</v>
      </c>
      <c r="C22" s="5" t="str">
        <f>INDEX('7oferty p.'!B3:G28,MATCH(19,B4:B29,0),1)</f>
        <v>przeworski</v>
      </c>
      <c r="D22" s="6">
        <f>INDEX('7oferty p.'!B3:G28,MATCH(19,B4:B29,0),2)</f>
        <v>167</v>
      </c>
      <c r="E22" s="42">
        <f>INDEX('7oferty p.'!B3:G28,MATCH(19,B4:B29,0),3)</f>
        <v>247</v>
      </c>
      <c r="F22" s="6">
        <f>INDEX('7oferty p.'!B3:G28,MATCH(19,B4:B29,0),4)</f>
        <v>-80</v>
      </c>
      <c r="G22" s="42">
        <f>INDEX('7oferty p.'!B3:G28,MATCH(19,B4:B29,0),5)</f>
        <v>330</v>
      </c>
      <c r="H22" s="6">
        <f>INDEX('7oferty p.'!B3:G28,MATCH(19,B4:B29,0),6)</f>
        <v>-163</v>
      </c>
    </row>
    <row r="23" spans="2:8" x14ac:dyDescent="0.2">
      <c r="B23" s="6">
        <f>RANK('7oferty p.'!C22,'7oferty p.'!$C$3:'7oferty p.'!$C$28,1)+COUNTIF('7oferty p.'!$C$3:'7oferty p.'!C22,'7oferty p.'!C22)-1</f>
        <v>5</v>
      </c>
      <c r="C23" s="5" t="str">
        <f>INDEX('7oferty p.'!B3:G28,MATCH(20,B4:B29,0),1)</f>
        <v>jarosławski</v>
      </c>
      <c r="D23" s="6">
        <f>INDEX('7oferty p.'!B3:G28,MATCH(20,B4:B29,0),2)</f>
        <v>181</v>
      </c>
      <c r="E23" s="42">
        <f>INDEX('7oferty p.'!B3:G28,MATCH(20,B4:B29,0),3)</f>
        <v>187</v>
      </c>
      <c r="F23" s="6">
        <f>INDEX('7oferty p.'!B3:G28,MATCH(20,B4:B29,0),4)</f>
        <v>-6</v>
      </c>
      <c r="G23" s="42">
        <f>INDEX('7oferty p.'!B3:G28,MATCH(20,B4:B29,0),5)</f>
        <v>153</v>
      </c>
      <c r="H23" s="6">
        <f>INDEX('7oferty p.'!B3:G28,MATCH(20,B4:B29,0),6)</f>
        <v>28</v>
      </c>
    </row>
    <row r="24" spans="2:8" x14ac:dyDescent="0.2">
      <c r="B24" s="6">
        <f>RANK('7oferty p.'!C23,'7oferty p.'!$C$3:'7oferty p.'!$C$28,1)+COUNTIF('7oferty p.'!$C$3:'7oferty p.'!C23,'7oferty p.'!C23)-1</f>
        <v>7</v>
      </c>
      <c r="C24" s="5" t="str">
        <f>INDEX('7oferty p.'!B3:G28,MATCH(21,B4:B29,0),1)</f>
        <v>rzeszowski</v>
      </c>
      <c r="D24" s="6">
        <f>INDEX('7oferty p.'!B3:G28,MATCH(21,B4:B29,0),2)</f>
        <v>231</v>
      </c>
      <c r="E24" s="42">
        <f>INDEX('7oferty p.'!B3:G28,MATCH(21,B4:B29,0),3)</f>
        <v>173</v>
      </c>
      <c r="F24" s="6">
        <f>INDEX('7oferty p.'!B3:G28,MATCH(21,B4:B29,0),4)</f>
        <v>58</v>
      </c>
      <c r="G24" s="42">
        <f>INDEX('7oferty p.'!B3:G28,MATCH(21,B4:B29,0),5)</f>
        <v>159</v>
      </c>
      <c r="H24" s="6">
        <f>INDEX('7oferty p.'!B3:G28,MATCH(21,B4:B29,0),6)</f>
        <v>72</v>
      </c>
    </row>
    <row r="25" spans="2:8" x14ac:dyDescent="0.2">
      <c r="B25" s="6">
        <f>RANK('7oferty p.'!C24,'7oferty p.'!$C$3:'7oferty p.'!$C$28,1)+COUNTIF('7oferty p.'!$C$3:'7oferty p.'!C24,'7oferty p.'!C24)-1</f>
        <v>17</v>
      </c>
      <c r="C25" s="5" t="str">
        <f>INDEX('7oferty p.'!B3:G28,MATCH(22,B4:B29,0),1)</f>
        <v>jasielski</v>
      </c>
      <c r="D25" s="6">
        <f>INDEX('7oferty p.'!B3:G28,MATCH(22,B4:B29,0),2)</f>
        <v>254</v>
      </c>
      <c r="E25" s="42">
        <f>INDEX('7oferty p.'!B3:G28,MATCH(22,B4:B29,0),3)</f>
        <v>228</v>
      </c>
      <c r="F25" s="6">
        <f>INDEX('7oferty p.'!B3:G28,MATCH(22,B4:B29,0),4)</f>
        <v>26</v>
      </c>
      <c r="G25" s="42">
        <f>INDEX('7oferty p.'!B3:G28,MATCH(22,B4:B29,0),5)</f>
        <v>200</v>
      </c>
      <c r="H25" s="6">
        <f>INDEX('7oferty p.'!B3:G28,MATCH(22,B4:B29,0),6)</f>
        <v>54</v>
      </c>
    </row>
    <row r="26" spans="2:8" x14ac:dyDescent="0.2">
      <c r="B26" s="6">
        <f>RANK('7oferty p.'!C25,'7oferty p.'!$C$3:'7oferty p.'!$C$28,1)+COUNTIF('7oferty p.'!$C$3:'7oferty p.'!C25,'7oferty p.'!C25)-1</f>
        <v>4</v>
      </c>
      <c r="C26" s="5" t="str">
        <f>INDEX('7oferty p.'!B3:G28,MATCH(23,B4:B29,0),1)</f>
        <v>mielecki</v>
      </c>
      <c r="D26" s="6">
        <f>INDEX('7oferty p.'!B3:G28,MATCH(23,B4:B29,0),2)</f>
        <v>299</v>
      </c>
      <c r="E26" s="42">
        <f>INDEX('7oferty p.'!B3:G28,MATCH(23,B4:B29,0),3)</f>
        <v>252</v>
      </c>
      <c r="F26" s="6">
        <f>INDEX('7oferty p.'!B3:G28,MATCH(23,B4:B29,0),4)</f>
        <v>47</v>
      </c>
      <c r="G26" s="42">
        <f>INDEX('7oferty p.'!B3:G28,MATCH(23,B4:B29,0),5)</f>
        <v>255</v>
      </c>
      <c r="H26" s="6">
        <f>INDEX('7oferty p.'!B3:G28,MATCH(23,B4:B29,0),6)</f>
        <v>44</v>
      </c>
    </row>
    <row r="27" spans="2:8" x14ac:dyDescent="0.2">
      <c r="B27" s="6">
        <f>RANK('7oferty p.'!C26,'7oferty p.'!$C$3:'7oferty p.'!$C$28,1)+COUNTIF('7oferty p.'!$C$3:'7oferty p.'!C26,'7oferty p.'!C26)-1</f>
        <v>25</v>
      </c>
      <c r="C27" s="5" t="str">
        <f>INDEX('7oferty p.'!B3:G28,MATCH(24,B4:B29,0),1)</f>
        <v>dębicki</v>
      </c>
      <c r="D27" s="6">
        <f>INDEX('7oferty p.'!B3:G28,MATCH(24,B4:B29,0),2)</f>
        <v>339</v>
      </c>
      <c r="E27" s="42">
        <f>INDEX('7oferty p.'!B3:G28,MATCH(24,B4:B29,0),3)</f>
        <v>248</v>
      </c>
      <c r="F27" s="6">
        <f>INDEX('7oferty p.'!B3:G28,MATCH(24,B4:B29,0),4)</f>
        <v>91</v>
      </c>
      <c r="G27" s="42">
        <f>INDEX('7oferty p.'!B3:G28,MATCH(24,B4:B29,0),5)</f>
        <v>247</v>
      </c>
      <c r="H27" s="6">
        <f>INDEX('7oferty p.'!B3:G28,MATCH(24,B4:B29,0),6)</f>
        <v>92</v>
      </c>
    </row>
    <row r="28" spans="2:8" x14ac:dyDescent="0.2">
      <c r="B28" s="6">
        <f>RANK('7oferty p.'!C27,'7oferty p.'!$C$3:'7oferty p.'!$C$28,1)+COUNTIF('7oferty p.'!$C$3:'7oferty p.'!C27,'7oferty p.'!C27)-1</f>
        <v>9</v>
      </c>
      <c r="C28" s="5" t="str">
        <f>INDEX('7oferty p.'!B3:G28,MATCH(25,B4:B29,0),1)</f>
        <v>Rzeszów</v>
      </c>
      <c r="D28" s="6">
        <f>INDEX('7oferty p.'!B3:G28,MATCH(25,B4:B29,0),2)</f>
        <v>584</v>
      </c>
      <c r="E28" s="42">
        <f>INDEX('7oferty p.'!B3:G28,MATCH(25,B4:B29,0),3)</f>
        <v>487</v>
      </c>
      <c r="F28" s="6">
        <f>INDEX('7oferty p.'!B3:G28,MATCH(25,B4:B29,0),4)</f>
        <v>97</v>
      </c>
      <c r="G28" s="42">
        <f>INDEX('7oferty p.'!B3:G28,MATCH(25,B4:B29,0),5)</f>
        <v>507</v>
      </c>
      <c r="H28" s="6">
        <f>INDEX('7oferty p.'!B3:G28,MATCH(25,B4:B29,0),6)</f>
        <v>77</v>
      </c>
    </row>
    <row r="29" spans="2:8" ht="15" x14ac:dyDescent="0.25">
      <c r="B29" s="22">
        <f>RANK('7oferty p.'!C28,'7oferty p.'!$C$3:'7oferty p.'!$C$28,1)+COUNTIF('7oferty p.'!$C$3:'7oferty p.'!C28,'7oferty p.'!C28)-1</f>
        <v>26</v>
      </c>
      <c r="C29" s="39" t="str">
        <f>INDEX('7oferty p.'!B3:G28,MATCH(26,B4:B29,0),1)</f>
        <v>województwo</v>
      </c>
      <c r="D29" s="40">
        <f>INDEX('7oferty p.'!B3:G28,MATCH(26,B4:B29,0),2)</f>
        <v>3621</v>
      </c>
      <c r="E29" s="44">
        <f>INDEX('7oferty p.'!B3:G28,MATCH(26,B4:B29,0),3)</f>
        <v>3509</v>
      </c>
      <c r="F29" s="40">
        <f>INDEX('7oferty p.'!B3:G28,MATCH(26,B4:B29,0),4)</f>
        <v>112</v>
      </c>
      <c r="G29" s="44">
        <f>INDEX('7oferty p.'!B3:G28,MATCH(26,B4:B29,0),5)</f>
        <v>3278</v>
      </c>
      <c r="H29" s="40">
        <f>INDEX('7oferty p.'!B3:G28,MATCH(26,B4:B29,0),6)</f>
        <v>343</v>
      </c>
    </row>
  </sheetData>
  <pageMargins left="0" right="0" top="0.31496062992125984" bottom="0" header="0" footer="0"/>
  <pageSetup paperSize="9" scale="74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CC00"/>
    <pageSetUpPr fitToPage="1"/>
  </sheetPr>
  <dimension ref="B1:K32"/>
  <sheetViews>
    <sheetView zoomScale="80" zoomScaleNormal="80" workbookViewId="0">
      <selection activeCell="B1" sqref="B1"/>
    </sheetView>
  </sheetViews>
  <sheetFormatPr defaultRowHeight="14.25" x14ac:dyDescent="0.2"/>
  <cols>
    <col min="1" max="1" width="3.28515625" style="3" customWidth="1"/>
    <col min="2" max="2" width="25.42578125" style="3" customWidth="1"/>
    <col min="3" max="3" width="11.85546875" style="3" customWidth="1"/>
    <col min="4" max="4" width="11.7109375" style="3" customWidth="1"/>
    <col min="5" max="5" width="16.28515625" style="3" customWidth="1"/>
    <col min="6" max="6" width="11.7109375" style="3" customWidth="1"/>
    <col min="7" max="7" width="17.85546875" style="3" customWidth="1"/>
    <col min="8" max="8" width="6.28515625" style="3" customWidth="1"/>
    <col min="9" max="9" width="4" style="3" customWidth="1"/>
    <col min="10" max="10" width="3.85546875" style="3" customWidth="1"/>
    <col min="11" max="11" width="4.85546875" style="3" customWidth="1"/>
    <col min="12" max="12" width="4.140625" style="3" customWidth="1"/>
    <col min="13" max="13" width="6.5703125" style="3" customWidth="1"/>
    <col min="14" max="16384" width="9.140625" style="3"/>
  </cols>
  <sheetData>
    <row r="1" spans="2:11" ht="15" customHeight="1" x14ac:dyDescent="0.2">
      <c r="B1" s="32" t="s">
        <v>44</v>
      </c>
      <c r="C1" s="30"/>
      <c r="D1" s="30"/>
      <c r="E1" s="30"/>
      <c r="F1" s="30"/>
      <c r="G1" s="30"/>
      <c r="H1" s="31"/>
      <c r="I1" s="31"/>
      <c r="J1" s="31"/>
      <c r="K1" s="31"/>
    </row>
    <row r="2" spans="2:11" ht="14.25" customHeight="1" x14ac:dyDescent="0.2">
      <c r="B2" s="1" t="s">
        <v>45</v>
      </c>
      <c r="C2" s="25"/>
      <c r="D2" s="25"/>
      <c r="E2" s="25"/>
      <c r="F2" s="25"/>
      <c r="G2" s="25"/>
      <c r="H2" s="31"/>
      <c r="I2" s="31"/>
      <c r="J2" s="31"/>
      <c r="K2" s="31"/>
    </row>
    <row r="3" spans="2:11" ht="57" x14ac:dyDescent="0.2">
      <c r="B3" s="36" t="s">
        <v>27</v>
      </c>
      <c r="C3" s="37" t="s">
        <v>102</v>
      </c>
      <c r="D3" s="38" t="s">
        <v>75</v>
      </c>
      <c r="E3" s="37" t="s">
        <v>28</v>
      </c>
      <c r="F3" s="38" t="s">
        <v>101</v>
      </c>
      <c r="G3" s="37" t="s">
        <v>26</v>
      </c>
    </row>
    <row r="4" spans="2:11" x14ac:dyDescent="0.2">
      <c r="B4" s="5" t="s">
        <v>0</v>
      </c>
      <c r="C4" s="28">
        <v>11</v>
      </c>
      <c r="D4" s="42">
        <v>4</v>
      </c>
      <c r="E4" s="28">
        <f t="shared" ref="E4:E28" si="0">SUM(C4)-D4</f>
        <v>7</v>
      </c>
      <c r="F4" s="42">
        <v>19</v>
      </c>
      <c r="G4" s="28">
        <f t="shared" ref="G4:G28" si="1">SUM(C4)-F4</f>
        <v>-8</v>
      </c>
      <c r="H4" s="7"/>
    </row>
    <row r="5" spans="2:11" x14ac:dyDescent="0.2">
      <c r="B5" s="5" t="s">
        <v>1</v>
      </c>
      <c r="C5" s="28">
        <v>89</v>
      </c>
      <c r="D5" s="42">
        <v>122</v>
      </c>
      <c r="E5" s="28">
        <f t="shared" si="0"/>
        <v>-33</v>
      </c>
      <c r="F5" s="42">
        <v>59</v>
      </c>
      <c r="G5" s="28">
        <f t="shared" si="1"/>
        <v>30</v>
      </c>
      <c r="H5" s="7"/>
    </row>
    <row r="6" spans="2:11" x14ac:dyDescent="0.2">
      <c r="B6" s="5" t="s">
        <v>2</v>
      </c>
      <c r="C6" s="28">
        <v>40</v>
      </c>
      <c r="D6" s="42">
        <v>57</v>
      </c>
      <c r="E6" s="28">
        <f t="shared" si="0"/>
        <v>-17</v>
      </c>
      <c r="F6" s="42">
        <v>31</v>
      </c>
      <c r="G6" s="28">
        <f t="shared" si="1"/>
        <v>9</v>
      </c>
      <c r="H6" s="7"/>
    </row>
    <row r="7" spans="2:11" x14ac:dyDescent="0.2">
      <c r="B7" s="5" t="s">
        <v>3</v>
      </c>
      <c r="C7" s="28">
        <v>98</v>
      </c>
      <c r="D7" s="42">
        <v>148</v>
      </c>
      <c r="E7" s="28">
        <f t="shared" si="0"/>
        <v>-50</v>
      </c>
      <c r="F7" s="42">
        <v>22</v>
      </c>
      <c r="G7" s="28">
        <f t="shared" si="1"/>
        <v>76</v>
      </c>
      <c r="H7" s="7"/>
    </row>
    <row r="8" spans="2:11" x14ac:dyDescent="0.2">
      <c r="B8" s="5" t="s">
        <v>4</v>
      </c>
      <c r="C8" s="28">
        <v>107</v>
      </c>
      <c r="D8" s="42">
        <v>137</v>
      </c>
      <c r="E8" s="28">
        <f t="shared" si="0"/>
        <v>-30</v>
      </c>
      <c r="F8" s="42">
        <v>106</v>
      </c>
      <c r="G8" s="28">
        <f t="shared" si="1"/>
        <v>1</v>
      </c>
      <c r="H8" s="7"/>
    </row>
    <row r="9" spans="2:11" x14ac:dyDescent="0.2">
      <c r="B9" s="5" t="s">
        <v>5</v>
      </c>
      <c r="C9" s="28">
        <v>51</v>
      </c>
      <c r="D9" s="42">
        <v>70</v>
      </c>
      <c r="E9" s="28">
        <f t="shared" si="0"/>
        <v>-19</v>
      </c>
      <c r="F9" s="42">
        <v>14</v>
      </c>
      <c r="G9" s="28">
        <f t="shared" si="1"/>
        <v>37</v>
      </c>
      <c r="H9" s="7"/>
    </row>
    <row r="10" spans="2:11" x14ac:dyDescent="0.2">
      <c r="B10" s="9" t="s">
        <v>6</v>
      </c>
      <c r="C10" s="28">
        <v>31</v>
      </c>
      <c r="D10" s="42">
        <v>39</v>
      </c>
      <c r="E10" s="28">
        <f t="shared" si="0"/>
        <v>-8</v>
      </c>
      <c r="F10" s="42">
        <v>28</v>
      </c>
      <c r="G10" s="28">
        <f t="shared" si="1"/>
        <v>3</v>
      </c>
      <c r="H10" s="7"/>
    </row>
    <row r="11" spans="2:11" x14ac:dyDescent="0.2">
      <c r="B11" s="5" t="s">
        <v>7</v>
      </c>
      <c r="C11" s="28">
        <v>30</v>
      </c>
      <c r="D11" s="42">
        <v>37</v>
      </c>
      <c r="E11" s="28">
        <f t="shared" si="0"/>
        <v>-7</v>
      </c>
      <c r="F11" s="42">
        <v>23</v>
      </c>
      <c r="G11" s="28">
        <f t="shared" si="1"/>
        <v>7</v>
      </c>
      <c r="H11" s="7"/>
    </row>
    <row r="12" spans="2:11" x14ac:dyDescent="0.2">
      <c r="B12" s="5" t="s">
        <v>8</v>
      </c>
      <c r="C12" s="28">
        <v>64</v>
      </c>
      <c r="D12" s="42">
        <v>98</v>
      </c>
      <c r="E12" s="28">
        <f t="shared" si="0"/>
        <v>-34</v>
      </c>
      <c r="F12" s="42">
        <v>74</v>
      </c>
      <c r="G12" s="28">
        <f t="shared" si="1"/>
        <v>-10</v>
      </c>
      <c r="H12" s="7"/>
    </row>
    <row r="13" spans="2:11" x14ac:dyDescent="0.2">
      <c r="B13" s="5" t="s">
        <v>9</v>
      </c>
      <c r="C13" s="28">
        <v>60</v>
      </c>
      <c r="D13" s="42">
        <v>84</v>
      </c>
      <c r="E13" s="28">
        <f t="shared" si="0"/>
        <v>-24</v>
      </c>
      <c r="F13" s="42">
        <v>123</v>
      </c>
      <c r="G13" s="28">
        <f t="shared" si="1"/>
        <v>-63</v>
      </c>
      <c r="H13" s="7"/>
    </row>
    <row r="14" spans="2:11" x14ac:dyDescent="0.2">
      <c r="B14" s="5" t="s">
        <v>10</v>
      </c>
      <c r="C14" s="28">
        <v>56</v>
      </c>
      <c r="D14" s="42">
        <v>73</v>
      </c>
      <c r="E14" s="28">
        <f t="shared" si="0"/>
        <v>-17</v>
      </c>
      <c r="F14" s="42">
        <v>49</v>
      </c>
      <c r="G14" s="28">
        <f t="shared" si="1"/>
        <v>7</v>
      </c>
      <c r="H14" s="7"/>
    </row>
    <row r="15" spans="2:11" x14ac:dyDescent="0.2">
      <c r="B15" s="5" t="s">
        <v>11</v>
      </c>
      <c r="C15" s="28">
        <v>74</v>
      </c>
      <c r="D15" s="42">
        <v>117</v>
      </c>
      <c r="E15" s="28">
        <f t="shared" si="0"/>
        <v>-43</v>
      </c>
      <c r="F15" s="42">
        <v>55</v>
      </c>
      <c r="G15" s="28">
        <f t="shared" si="1"/>
        <v>19</v>
      </c>
      <c r="H15" s="7"/>
    </row>
    <row r="16" spans="2:11" x14ac:dyDescent="0.2">
      <c r="B16" s="5" t="s">
        <v>12</v>
      </c>
      <c r="C16" s="28">
        <v>27</v>
      </c>
      <c r="D16" s="42">
        <v>107</v>
      </c>
      <c r="E16" s="28">
        <f t="shared" si="0"/>
        <v>-80</v>
      </c>
      <c r="F16" s="42">
        <v>32</v>
      </c>
      <c r="G16" s="28">
        <f t="shared" si="1"/>
        <v>-5</v>
      </c>
      <c r="H16" s="7"/>
    </row>
    <row r="17" spans="2:8" x14ac:dyDescent="0.2">
      <c r="B17" s="5" t="s">
        <v>13</v>
      </c>
      <c r="C17" s="28">
        <v>41</v>
      </c>
      <c r="D17" s="42">
        <v>76</v>
      </c>
      <c r="E17" s="28">
        <f t="shared" si="0"/>
        <v>-35</v>
      </c>
      <c r="F17" s="42">
        <v>27</v>
      </c>
      <c r="G17" s="28">
        <f t="shared" si="1"/>
        <v>14</v>
      </c>
      <c r="H17" s="7"/>
    </row>
    <row r="18" spans="2:8" x14ac:dyDescent="0.2">
      <c r="B18" s="5" t="s">
        <v>14</v>
      </c>
      <c r="C18" s="28">
        <v>59</v>
      </c>
      <c r="D18" s="42">
        <v>126</v>
      </c>
      <c r="E18" s="28">
        <f t="shared" si="0"/>
        <v>-67</v>
      </c>
      <c r="F18" s="42">
        <v>171</v>
      </c>
      <c r="G18" s="28">
        <f t="shared" si="1"/>
        <v>-112</v>
      </c>
      <c r="H18" s="7"/>
    </row>
    <row r="19" spans="2:8" x14ac:dyDescent="0.2">
      <c r="B19" s="5" t="s">
        <v>15</v>
      </c>
      <c r="C19" s="28">
        <v>47</v>
      </c>
      <c r="D19" s="42">
        <v>50</v>
      </c>
      <c r="E19" s="28">
        <f t="shared" si="0"/>
        <v>-3</v>
      </c>
      <c r="F19" s="42">
        <v>62</v>
      </c>
      <c r="G19" s="28">
        <f t="shared" si="1"/>
        <v>-15</v>
      </c>
      <c r="H19" s="7"/>
    </row>
    <row r="20" spans="2:8" x14ac:dyDescent="0.2">
      <c r="B20" s="5" t="s">
        <v>16</v>
      </c>
      <c r="C20" s="28">
        <v>101</v>
      </c>
      <c r="D20" s="42">
        <v>74</v>
      </c>
      <c r="E20" s="28">
        <f t="shared" si="0"/>
        <v>27</v>
      </c>
      <c r="F20" s="42">
        <v>46</v>
      </c>
      <c r="G20" s="28">
        <f t="shared" si="1"/>
        <v>55</v>
      </c>
      <c r="H20" s="7"/>
    </row>
    <row r="21" spans="2:8" x14ac:dyDescent="0.2">
      <c r="B21" s="5" t="s">
        <v>17</v>
      </c>
      <c r="C21" s="28">
        <v>62</v>
      </c>
      <c r="D21" s="42">
        <v>39</v>
      </c>
      <c r="E21" s="28">
        <f t="shared" si="0"/>
        <v>23</v>
      </c>
      <c r="F21" s="42">
        <v>74</v>
      </c>
      <c r="G21" s="28">
        <f t="shared" si="1"/>
        <v>-12</v>
      </c>
      <c r="H21" s="7"/>
    </row>
    <row r="22" spans="2:8" x14ac:dyDescent="0.2">
      <c r="B22" s="5" t="s">
        <v>18</v>
      </c>
      <c r="C22" s="28">
        <v>60</v>
      </c>
      <c r="D22" s="42">
        <v>96</v>
      </c>
      <c r="E22" s="28">
        <f t="shared" si="0"/>
        <v>-36</v>
      </c>
      <c r="F22" s="42">
        <v>25</v>
      </c>
      <c r="G22" s="28">
        <f t="shared" si="1"/>
        <v>35</v>
      </c>
      <c r="H22" s="7"/>
    </row>
    <row r="23" spans="2:8" x14ac:dyDescent="0.2">
      <c r="B23" s="5" t="s">
        <v>19</v>
      </c>
      <c r="C23" s="28">
        <v>24</v>
      </c>
      <c r="D23" s="42">
        <v>109</v>
      </c>
      <c r="E23" s="28">
        <f t="shared" si="0"/>
        <v>-85</v>
      </c>
      <c r="F23" s="42">
        <v>40</v>
      </c>
      <c r="G23" s="28">
        <f t="shared" si="1"/>
        <v>-16</v>
      </c>
      <c r="H23" s="7"/>
    </row>
    <row r="24" spans="2:8" x14ac:dyDescent="0.2">
      <c r="B24" s="5" t="s">
        <v>20</v>
      </c>
      <c r="C24" s="28">
        <v>30</v>
      </c>
      <c r="D24" s="42">
        <v>47</v>
      </c>
      <c r="E24" s="28">
        <f t="shared" si="0"/>
        <v>-17</v>
      </c>
      <c r="F24" s="42">
        <v>58</v>
      </c>
      <c r="G24" s="28">
        <f t="shared" si="1"/>
        <v>-28</v>
      </c>
      <c r="H24" s="7"/>
    </row>
    <row r="25" spans="2:8" x14ac:dyDescent="0.2">
      <c r="B25" s="5" t="s">
        <v>21</v>
      </c>
      <c r="C25" s="28">
        <v>23</v>
      </c>
      <c r="D25" s="42">
        <v>45</v>
      </c>
      <c r="E25" s="28">
        <f t="shared" si="0"/>
        <v>-22</v>
      </c>
      <c r="F25" s="42">
        <v>27</v>
      </c>
      <c r="G25" s="28">
        <f t="shared" si="1"/>
        <v>-4</v>
      </c>
      <c r="H25" s="7"/>
    </row>
    <row r="26" spans="2:8" x14ac:dyDescent="0.2">
      <c r="B26" s="5" t="s">
        <v>22</v>
      </c>
      <c r="C26" s="28">
        <v>34</v>
      </c>
      <c r="D26" s="42">
        <v>71</v>
      </c>
      <c r="E26" s="28">
        <f t="shared" si="0"/>
        <v>-37</v>
      </c>
      <c r="F26" s="42">
        <v>42</v>
      </c>
      <c r="G26" s="28">
        <f t="shared" si="1"/>
        <v>-8</v>
      </c>
      <c r="H26" s="7"/>
    </row>
    <row r="27" spans="2:8" x14ac:dyDescent="0.2">
      <c r="B27" s="5" t="s">
        <v>23</v>
      </c>
      <c r="C27" s="28">
        <v>172</v>
      </c>
      <c r="D27" s="42">
        <v>105</v>
      </c>
      <c r="E27" s="28">
        <f t="shared" si="0"/>
        <v>67</v>
      </c>
      <c r="F27" s="42">
        <v>53</v>
      </c>
      <c r="G27" s="28">
        <f t="shared" si="1"/>
        <v>119</v>
      </c>
      <c r="H27" s="7"/>
    </row>
    <row r="28" spans="2:8" x14ac:dyDescent="0.2">
      <c r="B28" s="5" t="s">
        <v>24</v>
      </c>
      <c r="C28" s="28">
        <v>41</v>
      </c>
      <c r="D28" s="42">
        <v>35</v>
      </c>
      <c r="E28" s="28">
        <f t="shared" si="0"/>
        <v>6</v>
      </c>
      <c r="F28" s="42">
        <v>53</v>
      </c>
      <c r="G28" s="28">
        <f t="shared" si="1"/>
        <v>-12</v>
      </c>
      <c r="H28" s="7"/>
    </row>
    <row r="29" spans="2:8" ht="15" x14ac:dyDescent="0.25">
      <c r="B29" s="39" t="s">
        <v>25</v>
      </c>
      <c r="C29" s="48">
        <f>SUM(C4:C28)</f>
        <v>1432</v>
      </c>
      <c r="D29" s="44">
        <f>SUM(D4:D28)</f>
        <v>1966</v>
      </c>
      <c r="E29" s="48">
        <f>SUM(E4:E28)</f>
        <v>-534</v>
      </c>
      <c r="F29" s="44">
        <f>SUM(F4:F28)</f>
        <v>1313</v>
      </c>
      <c r="G29" s="48">
        <f>SUM(G4:G28)</f>
        <v>119</v>
      </c>
      <c r="H29" s="7"/>
    </row>
    <row r="30" spans="2:8" ht="12" customHeight="1" x14ac:dyDescent="0.2">
      <c r="B30" s="4"/>
      <c r="C30" s="19"/>
      <c r="E30" s="7"/>
      <c r="G30" s="7"/>
    </row>
    <row r="31" spans="2:8" ht="9" customHeight="1" x14ac:dyDescent="0.2">
      <c r="B31" s="4"/>
    </row>
    <row r="32" spans="2:8" ht="12.75" customHeight="1" x14ac:dyDescent="0.2">
      <c r="B32" s="4"/>
    </row>
  </sheetData>
  <printOptions horizontalCentered="1" verticalCentered="1"/>
  <pageMargins left="0.31496062992125984" right="0.31496062992125984" top="0" bottom="0" header="0" footer="0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" style="3" customWidth="1"/>
    <col min="2" max="2" width="7.140625" style="3" customWidth="1"/>
    <col min="3" max="3" width="25.140625" style="3" customWidth="1"/>
    <col min="4" max="4" width="11.7109375" style="3" customWidth="1"/>
    <col min="5" max="5" width="11.85546875" style="3" customWidth="1"/>
    <col min="6" max="6" width="16.28515625" style="3" customWidth="1"/>
    <col min="7" max="7" width="11.28515625" style="3" customWidth="1"/>
    <col min="8" max="8" width="17.5703125" style="3" customWidth="1"/>
    <col min="9" max="9" width="5.5703125" style="3" customWidth="1"/>
    <col min="10" max="10" width="4.5703125" style="3" customWidth="1"/>
    <col min="11" max="19" width="9.140625" style="3"/>
    <col min="20" max="20" width="4.5703125" style="3" customWidth="1"/>
    <col min="21" max="16384" width="9.140625" style="3"/>
  </cols>
  <sheetData>
    <row r="1" spans="2:8" ht="18.75" customHeight="1" x14ac:dyDescent="0.2">
      <c r="B1" s="2" t="s">
        <v>41</v>
      </c>
      <c r="C1" s="33"/>
      <c r="D1" s="33"/>
      <c r="E1" s="33"/>
      <c r="F1" s="33"/>
      <c r="G1" s="33"/>
      <c r="H1" s="33"/>
    </row>
    <row r="2" spans="2:8" ht="15" x14ac:dyDescent="0.2">
      <c r="C2" s="20"/>
      <c r="D2" s="21"/>
    </row>
    <row r="3" spans="2:8" ht="57" x14ac:dyDescent="0.2">
      <c r="B3" s="43" t="s">
        <v>42</v>
      </c>
      <c r="C3" s="36" t="str">
        <f>T('8oferty s.'!B3)</f>
        <v>powiaty</v>
      </c>
      <c r="D3" s="36" t="str">
        <f>T('8oferty s.'!C3)</f>
        <v>liczba ofert w 04-'24 r.</v>
      </c>
      <c r="E3" s="36" t="str">
        <f>T('8oferty s.'!D3)</f>
        <v>liczba ofert w 03-'24 r.</v>
      </c>
      <c r="F3" s="36" t="str">
        <f>T('8oferty s.'!E3)</f>
        <v>wzrost/spadek do poprzedniego  miesiąca</v>
      </c>
      <c r="G3" s="36" t="str">
        <f>T('8oferty s.'!F3)</f>
        <v>liczba ofert w 04-'23 r.</v>
      </c>
      <c r="H3" s="36" t="str">
        <f>T('8oferty s.'!G3)</f>
        <v>wzrost/spadek do analogicznego okresu ubr.</v>
      </c>
    </row>
    <row r="4" spans="2:8" x14ac:dyDescent="0.2">
      <c r="B4" s="6">
        <f>RANK('8oferty s.'!C4,'8oferty s.'!$C$4:'8oferty s.'!$C$29,1)+COUNTIF('8oferty s.'!$C$4:'8oferty s.'!C4,'8oferty s.'!C4)-1</f>
        <v>1</v>
      </c>
      <c r="C4" s="5" t="str">
        <f>INDEX('8oferty s.'!B4:G29,MATCH(1,B4:B29,0),1)</f>
        <v>bieszczadzki</v>
      </c>
      <c r="D4" s="24">
        <f>INDEX('8oferty s.'!B4:G29,MATCH(1,B4:B29,0),2)</f>
        <v>11</v>
      </c>
      <c r="E4" s="42">
        <f>INDEX('8oferty s.'!B4:G29,MATCH(1,B4:B29,0),3)</f>
        <v>4</v>
      </c>
      <c r="F4" s="6">
        <f>INDEX('8oferty s.'!B4:G29,MATCH(1,B4:B29,0),4)</f>
        <v>7</v>
      </c>
      <c r="G4" s="42">
        <f>INDEX('8oferty s.'!B4:G29,MATCH(1,B4:B29,0),5)</f>
        <v>19</v>
      </c>
      <c r="H4" s="6">
        <f>INDEX('8oferty s.'!B4:G29,MATCH(1,B4:B29,0),6)</f>
        <v>-8</v>
      </c>
    </row>
    <row r="5" spans="2:8" x14ac:dyDescent="0.2">
      <c r="B5" s="6">
        <f>RANK('8oferty s.'!C5,'8oferty s.'!$C$4:'8oferty s.'!$C$29,1)+COUNTIF('8oferty s.'!$C$4:'8oferty s.'!C5,'8oferty s.'!C5)-1</f>
        <v>21</v>
      </c>
      <c r="C5" s="5" t="str">
        <f>INDEX('8oferty s.'!B4:G29,MATCH(2,B4:B29,0),1)</f>
        <v>Krosno</v>
      </c>
      <c r="D5" s="6">
        <f>INDEX('8oferty s.'!B4:G29,MATCH(2,B4:B29,0),2)</f>
        <v>23</v>
      </c>
      <c r="E5" s="42">
        <f>INDEX('8oferty s.'!B4:G29,MATCH(2,B4:B29,0),3)</f>
        <v>45</v>
      </c>
      <c r="F5" s="6">
        <f>INDEX('8oferty s.'!B4:G29,MATCH(2,B4:B29,0),4)</f>
        <v>-22</v>
      </c>
      <c r="G5" s="42">
        <f>INDEX('8oferty s.'!B4:G29,MATCH(2,B4:B29,0),5)</f>
        <v>27</v>
      </c>
      <c r="H5" s="6">
        <f>INDEX('8oferty s.'!B4:G29,MATCH(2,B4:B29,0),6)</f>
        <v>-4</v>
      </c>
    </row>
    <row r="6" spans="2:8" x14ac:dyDescent="0.2">
      <c r="B6" s="6">
        <f>RANK('8oferty s.'!C6,'8oferty s.'!$C$4:'8oferty s.'!$C$29,1)+COUNTIF('8oferty s.'!$C$4:'8oferty s.'!C6,'8oferty s.'!C6)-1</f>
        <v>9</v>
      </c>
      <c r="C6" s="5" t="str">
        <f>INDEX('8oferty s.'!B4:G29,MATCH(3,B4:B29,0),1)</f>
        <v>strzyżowski</v>
      </c>
      <c r="D6" s="6">
        <f>INDEX('8oferty s.'!B4:G29,MATCH(3,B4:B29,0),2)</f>
        <v>24</v>
      </c>
      <c r="E6" s="42">
        <f>INDEX('8oferty s.'!B4:G29,MATCH(3,B4:B29,0),3)</f>
        <v>109</v>
      </c>
      <c r="F6" s="6">
        <f>INDEX('8oferty s.'!B4:G29,MATCH(3,B4:B29,0),4)</f>
        <v>-85</v>
      </c>
      <c r="G6" s="42">
        <f>INDEX('8oferty s.'!B4:G29,MATCH(3,B4:B29,0),5)</f>
        <v>40</v>
      </c>
      <c r="H6" s="6">
        <f>INDEX('8oferty s.'!B4:G29,MATCH(3,B4:B29,0),6)</f>
        <v>-16</v>
      </c>
    </row>
    <row r="7" spans="2:8" x14ac:dyDescent="0.2">
      <c r="B7" s="6">
        <f>RANK('8oferty s.'!C7,'8oferty s.'!$C$4:'8oferty s.'!$C$29,1)+COUNTIF('8oferty s.'!$C$4:'8oferty s.'!C7,'8oferty s.'!C7)-1</f>
        <v>22</v>
      </c>
      <c r="C7" s="5" t="str">
        <f>INDEX('8oferty s.'!B4:G29,MATCH(4,B4:B29,0),1)</f>
        <v>niżański</v>
      </c>
      <c r="D7" s="6">
        <f>INDEX('8oferty s.'!B4:G29,MATCH(4,B4:B29,0),2)</f>
        <v>27</v>
      </c>
      <c r="E7" s="42">
        <f>INDEX('8oferty s.'!B4:G29,MATCH(4,B4:B29,0),3)</f>
        <v>107</v>
      </c>
      <c r="F7" s="6">
        <f>INDEX('8oferty s.'!B4:G29,MATCH(4,B4:B29,0),4)</f>
        <v>-80</v>
      </c>
      <c r="G7" s="42">
        <f>INDEX('8oferty s.'!B4:G29,MATCH(4,B4:B29,0),5)</f>
        <v>32</v>
      </c>
      <c r="H7" s="6">
        <f>INDEX('8oferty s.'!B4:G29,MATCH(4,B4:B29,0),6)</f>
        <v>-5</v>
      </c>
    </row>
    <row r="8" spans="2:8" x14ac:dyDescent="0.2">
      <c r="B8" s="6">
        <f>RANK('8oferty s.'!C8,'8oferty s.'!$C$4:'8oferty s.'!$C$29,1)+COUNTIF('8oferty s.'!$C$4:'8oferty s.'!C8,'8oferty s.'!C8)-1</f>
        <v>24</v>
      </c>
      <c r="C8" s="5" t="str">
        <f>INDEX('8oferty s.'!B4:G29,MATCH(5,B4:B29,0),1)</f>
        <v>leski</v>
      </c>
      <c r="D8" s="6">
        <f>INDEX('8oferty s.'!B4:G29,MATCH(5,B4:B29,0),2)</f>
        <v>30</v>
      </c>
      <c r="E8" s="42">
        <f>INDEX('8oferty s.'!B4:G29,MATCH(5,B4:B29,0),3)</f>
        <v>37</v>
      </c>
      <c r="F8" s="6">
        <f>INDEX('8oferty s.'!B4:G29,MATCH(5,B4:B29,0),4)</f>
        <v>-7</v>
      </c>
      <c r="G8" s="42">
        <f>INDEX('8oferty s.'!B4:G29,MATCH(5,B4:B29,0),5)</f>
        <v>23</v>
      </c>
      <c r="H8" s="6">
        <f>INDEX('8oferty s.'!B4:G29,MATCH(5,B4:B29,0),6)</f>
        <v>7</v>
      </c>
    </row>
    <row r="9" spans="2:8" x14ac:dyDescent="0.2">
      <c r="B9" s="6">
        <f>RANK('8oferty s.'!C9,'8oferty s.'!$C$4:'8oferty s.'!$C$29,1)+COUNTIF('8oferty s.'!$C$4:'8oferty s.'!C9,'8oferty s.'!C9)-1</f>
        <v>13</v>
      </c>
      <c r="C9" s="5" t="str">
        <f>INDEX('8oferty s.'!B4:G29,MATCH(6,B4:B29,0),1)</f>
        <v xml:space="preserve">tarnobrzeski </v>
      </c>
      <c r="D9" s="6">
        <f>INDEX('8oferty s.'!B4:G29,MATCH(6,B4:B29,0),2)</f>
        <v>30</v>
      </c>
      <c r="E9" s="42">
        <f>INDEX('8oferty s.'!B4:G29,MATCH(6,B4:B29,0),3)</f>
        <v>47</v>
      </c>
      <c r="F9" s="6">
        <f>INDEX('8oferty s.'!B4:G29,MATCH(6,B4:B29,0),4)</f>
        <v>-17</v>
      </c>
      <c r="G9" s="42">
        <f>INDEX('8oferty s.'!B4:G29,MATCH(6,B4:B29,0),5)</f>
        <v>58</v>
      </c>
      <c r="H9" s="6">
        <f>INDEX('8oferty s.'!B4:G29,MATCH(6,B4:B29,0),6)</f>
        <v>-28</v>
      </c>
    </row>
    <row r="10" spans="2:8" x14ac:dyDescent="0.2">
      <c r="B10" s="6">
        <f>RANK('8oferty s.'!C10,'8oferty s.'!$C$4:'8oferty s.'!$C$29,1)+COUNTIF('8oferty s.'!$C$4:'8oferty s.'!C10,'8oferty s.'!C10)-1</f>
        <v>7</v>
      </c>
      <c r="C10" s="9" t="str">
        <f>INDEX('8oferty s.'!B4:G29,MATCH(7,B4:B29,0),1)</f>
        <v>krośnieński</v>
      </c>
      <c r="D10" s="6">
        <f>INDEX('8oferty s.'!B4:G29,MATCH(7,B4:B29,0),2)</f>
        <v>31</v>
      </c>
      <c r="E10" s="42">
        <f>INDEX('8oferty s.'!B4:G29,MATCH(7,B4:B29,0),3)</f>
        <v>39</v>
      </c>
      <c r="F10" s="6">
        <f>INDEX('8oferty s.'!B4:G29,MATCH(7,B4:B29,0),4)</f>
        <v>-8</v>
      </c>
      <c r="G10" s="42">
        <f>INDEX('8oferty s.'!B4:G29,MATCH(7,B4:B29,0),5)</f>
        <v>28</v>
      </c>
      <c r="H10" s="6">
        <f>INDEX('8oferty s.'!B4:G29,MATCH(7,B4:B29,0),6)</f>
        <v>3</v>
      </c>
    </row>
    <row r="11" spans="2:8" x14ac:dyDescent="0.2">
      <c r="B11" s="6">
        <f>RANK('8oferty s.'!C11,'8oferty s.'!$C$4:'8oferty s.'!$C$29,1)+COUNTIF('8oferty s.'!$C$4:'8oferty s.'!C11,'8oferty s.'!C11)-1</f>
        <v>5</v>
      </c>
      <c r="C11" s="5" t="str">
        <f>INDEX('8oferty s.'!B4:G29,MATCH(8,B4:B29,0),1)</f>
        <v>Przemyśl</v>
      </c>
      <c r="D11" s="6">
        <f>INDEX('8oferty s.'!B4:G29,MATCH(8,B4:B29,0),2)</f>
        <v>34</v>
      </c>
      <c r="E11" s="42">
        <f>INDEX('8oferty s.'!B4:G29,MATCH(8,B4:B29,0),3)</f>
        <v>71</v>
      </c>
      <c r="F11" s="6">
        <f>INDEX('8oferty s.'!B4:G29,MATCH(8,B4:B29,0),4)</f>
        <v>-37</v>
      </c>
      <c r="G11" s="42">
        <f>INDEX('8oferty s.'!B4:G29,MATCH(8,B4:B29,0),5)</f>
        <v>42</v>
      </c>
      <c r="H11" s="6">
        <f>INDEX('8oferty s.'!B4:G29,MATCH(8,B4:B29,0),6)</f>
        <v>-8</v>
      </c>
    </row>
    <row r="12" spans="2:8" x14ac:dyDescent="0.2">
      <c r="B12" s="6">
        <f>RANK('8oferty s.'!C12,'8oferty s.'!$C$4:'8oferty s.'!$C$29,1)+COUNTIF('8oferty s.'!$C$4:'8oferty s.'!C12,'8oferty s.'!C12)-1</f>
        <v>19</v>
      </c>
      <c r="C12" s="5" t="str">
        <f>INDEX('8oferty s.'!B4:G29,MATCH(9,B4:B29,0),1)</f>
        <v>dębicki</v>
      </c>
      <c r="D12" s="6">
        <f>INDEX('8oferty s.'!B4:G29,MATCH(9,B4:B29,0),2)</f>
        <v>40</v>
      </c>
      <c r="E12" s="42">
        <f>INDEX('8oferty s.'!B4:G29,MATCH(9,B4:B29,0),3)</f>
        <v>57</v>
      </c>
      <c r="F12" s="6">
        <f>INDEX('8oferty s.'!B4:G29,MATCH(9,B4:B29,0),4)</f>
        <v>-17</v>
      </c>
      <c r="G12" s="42">
        <f>INDEX('8oferty s.'!B4:G29,MATCH(9,B4:B29,0),5)</f>
        <v>31</v>
      </c>
      <c r="H12" s="6">
        <f>INDEX('8oferty s.'!B4:G29,MATCH(9,B4:B29,0),6)</f>
        <v>9</v>
      </c>
    </row>
    <row r="13" spans="2:8" x14ac:dyDescent="0.2">
      <c r="B13" s="6">
        <f>RANK('8oferty s.'!C13,'8oferty s.'!$C$4:'8oferty s.'!$C$29,1)+COUNTIF('8oferty s.'!$C$4:'8oferty s.'!C13,'8oferty s.'!C13)-1</f>
        <v>16</v>
      </c>
      <c r="C13" s="5" t="str">
        <f>INDEX('8oferty s.'!B4:G29,MATCH(10,B4:B29,0),1)</f>
        <v>przemyski</v>
      </c>
      <c r="D13" s="6">
        <f>INDEX('8oferty s.'!B4:G29,MATCH(10,B4:B29,0),2)</f>
        <v>41</v>
      </c>
      <c r="E13" s="42">
        <f>INDEX('8oferty s.'!B4:G29,MATCH(10,B4:B29,0),3)</f>
        <v>76</v>
      </c>
      <c r="F13" s="6">
        <f>INDEX('8oferty s.'!B4:G29,MATCH(10,B4:B29,0),4)</f>
        <v>-35</v>
      </c>
      <c r="G13" s="42">
        <f>INDEX('8oferty s.'!B4:G29,MATCH(10,B4:B29,0),5)</f>
        <v>27</v>
      </c>
      <c r="H13" s="6">
        <f>INDEX('8oferty s.'!B4:G29,MATCH(10,B4:B29,0),6)</f>
        <v>14</v>
      </c>
    </row>
    <row r="14" spans="2:8" x14ac:dyDescent="0.2">
      <c r="B14" s="6">
        <f>RANK('8oferty s.'!C14,'8oferty s.'!$C$4:'8oferty s.'!$C$29,1)+COUNTIF('8oferty s.'!$C$4:'8oferty s.'!C14,'8oferty s.'!C14)-1</f>
        <v>14</v>
      </c>
      <c r="C14" s="5" t="str">
        <f>INDEX('8oferty s.'!B4:G29,MATCH(11,B4:B29,0),1)</f>
        <v>Tarnobrzeg</v>
      </c>
      <c r="D14" s="6">
        <f>INDEX('8oferty s.'!B4:G29,MATCH(11,B4:B29,0),2)</f>
        <v>41</v>
      </c>
      <c r="E14" s="42">
        <f>INDEX('8oferty s.'!B4:G29,MATCH(11,B4:B29,0),3)</f>
        <v>35</v>
      </c>
      <c r="F14" s="6">
        <f>INDEX('8oferty s.'!B4:G29,MATCH(11,B4:B29,0),4)</f>
        <v>6</v>
      </c>
      <c r="G14" s="42">
        <f>INDEX('8oferty s.'!B4:G29,MATCH(11,B4:B29,0),5)</f>
        <v>53</v>
      </c>
      <c r="H14" s="6">
        <f>INDEX('8oferty s.'!B4:G29,MATCH(11,B4:B29,0),6)</f>
        <v>-12</v>
      </c>
    </row>
    <row r="15" spans="2:8" x14ac:dyDescent="0.2">
      <c r="B15" s="6">
        <f>RANK('8oferty s.'!C15,'8oferty s.'!$C$4:'8oferty s.'!$C$29,1)+COUNTIF('8oferty s.'!$C$4:'8oferty s.'!C15,'8oferty s.'!C15)-1</f>
        <v>20</v>
      </c>
      <c r="C15" s="5" t="str">
        <f>INDEX('8oferty s.'!B4:G29,MATCH(12,B4:B29,0),1)</f>
        <v>ropczycko-sędziszowski</v>
      </c>
      <c r="D15" s="6">
        <f>INDEX('8oferty s.'!B4:G29,MATCH(12,B4:B29,0),2)</f>
        <v>47</v>
      </c>
      <c r="E15" s="42">
        <f>INDEX('8oferty s.'!B4:G29,MATCH(12,B4:B29,0),3)</f>
        <v>50</v>
      </c>
      <c r="F15" s="6">
        <f>INDEX('8oferty s.'!B4:G29,MATCH(12,B4:B29,0),4)</f>
        <v>-3</v>
      </c>
      <c r="G15" s="42">
        <f>INDEX('8oferty s.'!B4:G29,MATCH(12,B4:B29,0),5)</f>
        <v>62</v>
      </c>
      <c r="H15" s="6">
        <f>INDEX('8oferty s.'!B4:G29,MATCH(12,B4:B29,0),6)</f>
        <v>-15</v>
      </c>
    </row>
    <row r="16" spans="2:8" x14ac:dyDescent="0.2">
      <c r="B16" s="6">
        <f>RANK('8oferty s.'!C16,'8oferty s.'!$C$4:'8oferty s.'!$C$29,1)+COUNTIF('8oferty s.'!$C$4:'8oferty s.'!C16,'8oferty s.'!C16)-1</f>
        <v>4</v>
      </c>
      <c r="C16" s="5" t="str">
        <f>INDEX('8oferty s.'!B4:G29,MATCH(13,B4:B29,0),1)</f>
        <v>kolbuszowski</v>
      </c>
      <c r="D16" s="6">
        <f>INDEX('8oferty s.'!B4:G29,MATCH(13,B4:B29,0),2)</f>
        <v>51</v>
      </c>
      <c r="E16" s="42">
        <f>INDEX('8oferty s.'!B4:G29,MATCH(13,B4:B29,0),3)</f>
        <v>70</v>
      </c>
      <c r="F16" s="6">
        <f>INDEX('8oferty s.'!B4:G29,MATCH(13,B4:B29,0),4)</f>
        <v>-19</v>
      </c>
      <c r="G16" s="42">
        <f>INDEX('8oferty s.'!B4:G29,MATCH(13,B4:B29,0),5)</f>
        <v>14</v>
      </c>
      <c r="H16" s="6">
        <f>INDEX('8oferty s.'!B4:G29,MATCH(13,B4:B29,0),6)</f>
        <v>37</v>
      </c>
    </row>
    <row r="17" spans="2:8" x14ac:dyDescent="0.2">
      <c r="B17" s="6">
        <f>RANK('8oferty s.'!C17,'8oferty s.'!$C$4:'8oferty s.'!$C$29,1)+COUNTIF('8oferty s.'!$C$4:'8oferty s.'!C17,'8oferty s.'!C17)-1</f>
        <v>10</v>
      </c>
      <c r="C17" s="5" t="str">
        <f>INDEX('8oferty s.'!B4:G29,MATCH(14,B4:B29,0),1)</f>
        <v>łańcucki</v>
      </c>
      <c r="D17" s="6">
        <f>INDEX('8oferty s.'!B4:G29,MATCH(14,B4:B29,0),2)</f>
        <v>56</v>
      </c>
      <c r="E17" s="42">
        <f>INDEX('8oferty s.'!B4:G29,MATCH(14,B4:B29,0),3)</f>
        <v>73</v>
      </c>
      <c r="F17" s="6">
        <f>INDEX('8oferty s.'!B4:G29,MATCH(14,B4:B29,0),4)</f>
        <v>-17</v>
      </c>
      <c r="G17" s="42">
        <f>INDEX('8oferty s.'!B4:G29,MATCH(14,B4:B29,0),5)</f>
        <v>49</v>
      </c>
      <c r="H17" s="6">
        <f>INDEX('8oferty s.'!B4:G29,MATCH(14,B4:B29,0),6)</f>
        <v>7</v>
      </c>
    </row>
    <row r="18" spans="2:8" x14ac:dyDescent="0.2">
      <c r="B18" s="6">
        <f>RANK('8oferty s.'!C18,'8oferty s.'!$C$4:'8oferty s.'!$C$29,1)+COUNTIF('8oferty s.'!$C$4:'8oferty s.'!C18,'8oferty s.'!C18)-1</f>
        <v>15</v>
      </c>
      <c r="C18" s="5" t="str">
        <f>INDEX('8oferty s.'!B4:G29,MATCH(15,B4:B29,0),1)</f>
        <v>przeworski</v>
      </c>
      <c r="D18" s="6">
        <f>INDEX('8oferty s.'!B4:G29,MATCH(15,B4:B29,0),2)</f>
        <v>59</v>
      </c>
      <c r="E18" s="42">
        <f>INDEX('8oferty s.'!B4:G29,MATCH(15,B4:B29,0),3)</f>
        <v>126</v>
      </c>
      <c r="F18" s="6">
        <f>INDEX('8oferty s.'!B4:G29,MATCH(15,B4:B29,0),4)</f>
        <v>-67</v>
      </c>
      <c r="G18" s="42">
        <f>INDEX('8oferty s.'!B4:G29,MATCH(15,B4:B29,0),5)</f>
        <v>171</v>
      </c>
      <c r="H18" s="6">
        <f>INDEX('8oferty s.'!B4:G29,MATCH(15,B4:B29,0),6)</f>
        <v>-112</v>
      </c>
    </row>
    <row r="19" spans="2:8" x14ac:dyDescent="0.2">
      <c r="B19" s="6">
        <f>RANK('8oferty s.'!C19,'8oferty s.'!$C$4:'8oferty s.'!$C$29,1)+COUNTIF('8oferty s.'!$C$4:'8oferty s.'!C19,'8oferty s.'!C19)-1</f>
        <v>12</v>
      </c>
      <c r="C19" s="5" t="str">
        <f>INDEX('8oferty s.'!B4:G29,MATCH(16,B4:B29,0),1)</f>
        <v>lubaczowski</v>
      </c>
      <c r="D19" s="6">
        <f>INDEX('8oferty s.'!B4:G29,MATCH(16,B4:B29,0),2)</f>
        <v>60</v>
      </c>
      <c r="E19" s="42">
        <f>INDEX('8oferty s.'!B4:G29,MATCH(16,B4:B29,0),3)</f>
        <v>84</v>
      </c>
      <c r="F19" s="6">
        <f>INDEX('8oferty s.'!B4:G29,MATCH(16,B4:B29,0),4)</f>
        <v>-24</v>
      </c>
      <c r="G19" s="42">
        <f>INDEX('8oferty s.'!B4:G29,MATCH(16,B4:B29,0),5)</f>
        <v>123</v>
      </c>
      <c r="H19" s="6">
        <f>INDEX('8oferty s.'!B4:G29,MATCH(16,B4:B29,0),6)</f>
        <v>-63</v>
      </c>
    </row>
    <row r="20" spans="2:8" x14ac:dyDescent="0.2">
      <c r="B20" s="6">
        <f>RANK('8oferty s.'!C20,'8oferty s.'!$C$4:'8oferty s.'!$C$29,1)+COUNTIF('8oferty s.'!$C$4:'8oferty s.'!C20,'8oferty s.'!C20)-1</f>
        <v>23</v>
      </c>
      <c r="C20" s="5" t="str">
        <f>INDEX('8oferty s.'!B4:G29,MATCH(17,B4:B29,0),1)</f>
        <v>stalowowolski</v>
      </c>
      <c r="D20" s="6">
        <f>INDEX('8oferty s.'!B4:G29,MATCH(17,B4:B29,0),2)</f>
        <v>60</v>
      </c>
      <c r="E20" s="42">
        <f>INDEX('8oferty s.'!B4:G29,MATCH(17,B4:B29,0),3)</f>
        <v>96</v>
      </c>
      <c r="F20" s="6">
        <f>INDEX('8oferty s.'!B4:G29,MATCH(17,B4:B29,0),4)</f>
        <v>-36</v>
      </c>
      <c r="G20" s="42">
        <f>INDEX('8oferty s.'!B4:G29,MATCH(17,B4:B29,0),5)</f>
        <v>25</v>
      </c>
      <c r="H20" s="6">
        <f>INDEX('8oferty s.'!B4:G29,MATCH(17,B4:B29,0),6)</f>
        <v>35</v>
      </c>
    </row>
    <row r="21" spans="2:8" x14ac:dyDescent="0.2">
      <c r="B21" s="6">
        <f>RANK('8oferty s.'!C21,'8oferty s.'!$C$4:'8oferty s.'!$C$29,1)+COUNTIF('8oferty s.'!$C$4:'8oferty s.'!C21,'8oferty s.'!C21)-1</f>
        <v>18</v>
      </c>
      <c r="C21" s="5" t="str">
        <f>INDEX('8oferty s.'!B4:G29,MATCH(18,B4:B29,0),1)</f>
        <v>sanocki</v>
      </c>
      <c r="D21" s="6">
        <f>INDEX('8oferty s.'!B4:G29,MATCH(18,B4:B29,0),2)</f>
        <v>62</v>
      </c>
      <c r="E21" s="42">
        <f>INDEX('8oferty s.'!B4:G29,MATCH(18,B4:B29,0),3)</f>
        <v>39</v>
      </c>
      <c r="F21" s="6">
        <f>INDEX('8oferty s.'!B4:G29,MATCH(18,B4:B29,0),4)</f>
        <v>23</v>
      </c>
      <c r="G21" s="42">
        <f>INDEX('8oferty s.'!B4:G29,MATCH(18,B4:B29,0),5)</f>
        <v>74</v>
      </c>
      <c r="H21" s="6">
        <f>INDEX('8oferty s.'!B4:G29,MATCH(18,B4:B29,0),6)</f>
        <v>-12</v>
      </c>
    </row>
    <row r="22" spans="2:8" x14ac:dyDescent="0.2">
      <c r="B22" s="6">
        <f>RANK('8oferty s.'!C22,'8oferty s.'!$C$4:'8oferty s.'!$C$29,1)+COUNTIF('8oferty s.'!$C$4:'8oferty s.'!C22,'8oferty s.'!C22)-1</f>
        <v>17</v>
      </c>
      <c r="C22" s="5" t="str">
        <f>INDEX('8oferty s.'!B4:G29,MATCH(19,B4:B29,0),1)</f>
        <v>leżajski</v>
      </c>
      <c r="D22" s="6">
        <f>INDEX('8oferty s.'!B4:G29,MATCH(19,B4:B29,0),2)</f>
        <v>64</v>
      </c>
      <c r="E22" s="42">
        <f>INDEX('8oferty s.'!B4:G29,MATCH(19,B4:B29,0),3)</f>
        <v>98</v>
      </c>
      <c r="F22" s="6">
        <f>INDEX('8oferty s.'!B4:G29,MATCH(19,B4:B29,0),4)</f>
        <v>-34</v>
      </c>
      <c r="G22" s="42">
        <f>INDEX('8oferty s.'!B4:G29,MATCH(19,B4:B29,0),5)</f>
        <v>74</v>
      </c>
      <c r="H22" s="6">
        <f>INDEX('8oferty s.'!B4:G29,MATCH(19,B4:B29,0),6)</f>
        <v>-10</v>
      </c>
    </row>
    <row r="23" spans="2:8" x14ac:dyDescent="0.2">
      <c r="B23" s="6">
        <f>RANK('8oferty s.'!C23,'8oferty s.'!$C$4:'8oferty s.'!$C$29,1)+COUNTIF('8oferty s.'!$C$4:'8oferty s.'!C23,'8oferty s.'!C23)-1</f>
        <v>3</v>
      </c>
      <c r="C23" s="5" t="str">
        <f>INDEX('8oferty s.'!B4:G29,MATCH(20,B4:B29,0),1)</f>
        <v>mielecki</v>
      </c>
      <c r="D23" s="6">
        <f>INDEX('8oferty s.'!B4:G29,MATCH(20,B4:B29,0),2)</f>
        <v>74</v>
      </c>
      <c r="E23" s="42">
        <f>INDEX('8oferty s.'!B4:G29,MATCH(20,B4:B29,0),3)</f>
        <v>117</v>
      </c>
      <c r="F23" s="6">
        <f>INDEX('8oferty s.'!B4:G29,MATCH(20,B4:B29,0),4)</f>
        <v>-43</v>
      </c>
      <c r="G23" s="42">
        <f>INDEX('8oferty s.'!B4:G29,MATCH(20,B4:B29,0),5)</f>
        <v>55</v>
      </c>
      <c r="H23" s="6">
        <f>INDEX('8oferty s.'!B4:G29,MATCH(20,B4:B29,0),6)</f>
        <v>19</v>
      </c>
    </row>
    <row r="24" spans="2:8" x14ac:dyDescent="0.2">
      <c r="B24" s="6">
        <f>RANK('8oferty s.'!C24,'8oferty s.'!$C$4:'8oferty s.'!$C$29,1)+COUNTIF('8oferty s.'!$C$4:'8oferty s.'!C24,'8oferty s.'!C24)-1</f>
        <v>6</v>
      </c>
      <c r="C24" s="5" t="str">
        <f>INDEX('8oferty s.'!B4:G29,MATCH(21,B4:B29,0),1)</f>
        <v>brzozowski</v>
      </c>
      <c r="D24" s="6">
        <f>INDEX('8oferty s.'!B4:G29,MATCH(21,B4:B29,0),2)</f>
        <v>89</v>
      </c>
      <c r="E24" s="42">
        <f>INDEX('8oferty s.'!B4:G29,MATCH(21,B4:B29,0),3)</f>
        <v>122</v>
      </c>
      <c r="F24" s="6">
        <f>INDEX('8oferty s.'!B4:G29,MATCH(21,B4:B29,0),4)</f>
        <v>-33</v>
      </c>
      <c r="G24" s="42">
        <f>INDEX('8oferty s.'!B4:G29,MATCH(21,B4:B29,0),5)</f>
        <v>59</v>
      </c>
      <c r="H24" s="6">
        <f>INDEX('8oferty s.'!B4:G29,MATCH(21,B4:B29,0),6)</f>
        <v>30</v>
      </c>
    </row>
    <row r="25" spans="2:8" x14ac:dyDescent="0.2">
      <c r="B25" s="6">
        <f>RANK('8oferty s.'!C25,'8oferty s.'!$C$4:'8oferty s.'!$C$29,1)+COUNTIF('8oferty s.'!$C$4:'8oferty s.'!C25,'8oferty s.'!C25)-1</f>
        <v>2</v>
      </c>
      <c r="C25" s="5" t="str">
        <f>INDEX('8oferty s.'!B4:G29,MATCH(22,B4:B29,0),1)</f>
        <v>jarosławski</v>
      </c>
      <c r="D25" s="6">
        <f>INDEX('8oferty s.'!B4:G29,MATCH(22,B4:B29,0),2)</f>
        <v>98</v>
      </c>
      <c r="E25" s="42">
        <f>INDEX('8oferty s.'!B4:G29,MATCH(22,B4:B29,0),3)</f>
        <v>148</v>
      </c>
      <c r="F25" s="6">
        <f>INDEX('8oferty s.'!B4:G29,MATCH(22,B4:B29,0),4)</f>
        <v>-50</v>
      </c>
      <c r="G25" s="42">
        <f>INDEX('8oferty s.'!B4:G29,MATCH(22,B4:B29,0),5)</f>
        <v>22</v>
      </c>
      <c r="H25" s="6">
        <f>INDEX('8oferty s.'!B4:G29,MATCH(22,B4:B29,0),6)</f>
        <v>76</v>
      </c>
    </row>
    <row r="26" spans="2:8" x14ac:dyDescent="0.2">
      <c r="B26" s="6">
        <f>RANK('8oferty s.'!C26,'8oferty s.'!$C$4:'8oferty s.'!$C$29,1)+COUNTIF('8oferty s.'!$C$4:'8oferty s.'!C26,'8oferty s.'!C26)-1</f>
        <v>8</v>
      </c>
      <c r="C26" s="5" t="str">
        <f>INDEX('8oferty s.'!B4:G29,MATCH(23,B4:B29,0),1)</f>
        <v>rzeszowski</v>
      </c>
      <c r="D26" s="6">
        <f>INDEX('8oferty s.'!B4:G29,MATCH(23,B4:B29,0),2)</f>
        <v>101</v>
      </c>
      <c r="E26" s="42">
        <f>INDEX('8oferty s.'!B4:G29,MATCH(23,B4:B29,0),3)</f>
        <v>74</v>
      </c>
      <c r="F26" s="6">
        <f>INDEX('8oferty s.'!B4:G29,MATCH(23,B4:B29,0),4)</f>
        <v>27</v>
      </c>
      <c r="G26" s="42">
        <f>INDEX('8oferty s.'!B4:G29,MATCH(23,B4:B29,0),5)</f>
        <v>46</v>
      </c>
      <c r="H26" s="6">
        <f>INDEX('8oferty s.'!B4:G29,MATCH(23,B4:B29,0),6)</f>
        <v>55</v>
      </c>
    </row>
    <row r="27" spans="2:8" x14ac:dyDescent="0.2">
      <c r="B27" s="6">
        <f>RANK('8oferty s.'!C27,'8oferty s.'!$C$4:'8oferty s.'!$C$29,1)+COUNTIF('8oferty s.'!$C$4:'8oferty s.'!C27,'8oferty s.'!C27)-1</f>
        <v>25</v>
      </c>
      <c r="C27" s="5" t="str">
        <f>INDEX('8oferty s.'!B4:G29,MATCH(24,B4:B29,0),1)</f>
        <v>jasielski</v>
      </c>
      <c r="D27" s="6">
        <f>INDEX('8oferty s.'!B4:G29,MATCH(24,B4:B29,0),2)</f>
        <v>107</v>
      </c>
      <c r="E27" s="42">
        <f>INDEX('8oferty s.'!B4:G29,MATCH(24,B4:B29,0),3)</f>
        <v>137</v>
      </c>
      <c r="F27" s="6">
        <f>INDEX('8oferty s.'!B4:G29,MATCH(24,B4:B29,0),4)</f>
        <v>-30</v>
      </c>
      <c r="G27" s="42">
        <f>INDEX('8oferty s.'!B4:G29,MATCH(24,B4:B29,0),5)</f>
        <v>106</v>
      </c>
      <c r="H27" s="6">
        <f>INDEX('8oferty s.'!B4:G29,MATCH(24,B4:B29,0),6)</f>
        <v>1</v>
      </c>
    </row>
    <row r="28" spans="2:8" x14ac:dyDescent="0.2">
      <c r="B28" s="6">
        <f>RANK('8oferty s.'!C28,'8oferty s.'!$C$4:'8oferty s.'!$C$29,1)+COUNTIF('8oferty s.'!$C$4:'8oferty s.'!C28,'8oferty s.'!C28)-1</f>
        <v>11</v>
      </c>
      <c r="C28" s="5" t="str">
        <f>INDEX('8oferty s.'!B4:G29,MATCH(25,B4:B29,0),1)</f>
        <v>Rzeszów</v>
      </c>
      <c r="D28" s="6">
        <f>INDEX('8oferty s.'!B4:G29,MATCH(25,B4:B29,0),2)</f>
        <v>172</v>
      </c>
      <c r="E28" s="42">
        <f>INDEX('8oferty s.'!B4:G29,MATCH(25,B4:B29,0),3)</f>
        <v>105</v>
      </c>
      <c r="F28" s="6">
        <f>INDEX('8oferty s.'!B4:G29,MATCH(25,B4:B29,0),4)</f>
        <v>67</v>
      </c>
      <c r="G28" s="42">
        <f>INDEX('8oferty s.'!B4:G29,MATCH(25,B4:B29,0),5)</f>
        <v>53</v>
      </c>
      <c r="H28" s="6">
        <f>INDEX('8oferty s.'!B4:G29,MATCH(25,B4:B29,0),6)</f>
        <v>119</v>
      </c>
    </row>
    <row r="29" spans="2:8" ht="15" x14ac:dyDescent="0.25">
      <c r="B29" s="40">
        <f>RANK('8oferty s.'!C29,'8oferty s.'!$C$4:'8oferty s.'!$C$29,1)+COUNTIF('8oferty s.'!$C$4:'8oferty s.'!C29,'8oferty s.'!C29)-1</f>
        <v>26</v>
      </c>
      <c r="C29" s="39" t="str">
        <f>INDEX('8oferty s.'!B4:G29,MATCH(26,B4:B29,0),1)</f>
        <v>województwo</v>
      </c>
      <c r="D29" s="40">
        <f>INDEX('8oferty s.'!B4:G29,MATCH(26,B4:B29,0),2)</f>
        <v>1432</v>
      </c>
      <c r="E29" s="44">
        <f>INDEX('8oferty s.'!B4:G29,MATCH(26,B4:B29,0),3)</f>
        <v>1966</v>
      </c>
      <c r="F29" s="40">
        <f>INDEX('8oferty s.'!B4:G29,MATCH(26,B4:B29,0),4)</f>
        <v>-534</v>
      </c>
      <c r="G29" s="44">
        <f>INDEX('8oferty s.'!B4:G29,MATCH(26,B4:B29,0),5)</f>
        <v>1313</v>
      </c>
      <c r="H29" s="40">
        <f>INDEX('8oferty s.'!B4:G29,MATCH(26,B4:B29,0),6)</f>
        <v>119</v>
      </c>
    </row>
  </sheetData>
  <pageMargins left="0" right="0" top="0.31496062992125984" bottom="0" header="0" footer="0"/>
  <pageSetup paperSize="9" scale="71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80E0D-B0EF-47B0-9BED-4BA60E34CD96}">
  <sheetPr>
    <tabColor rgb="FFFFCC00"/>
    <pageSetUpPr fitToPage="1"/>
  </sheetPr>
  <dimension ref="B1:M32"/>
  <sheetViews>
    <sheetView zoomScale="80" zoomScaleNormal="80" workbookViewId="0">
      <selection activeCell="B1" sqref="B1"/>
    </sheetView>
  </sheetViews>
  <sheetFormatPr defaultRowHeight="14.25" x14ac:dyDescent="0.2"/>
  <cols>
    <col min="1" max="1" width="3.28515625" style="3" customWidth="1"/>
    <col min="2" max="2" width="25.42578125" style="3" customWidth="1"/>
    <col min="3" max="3" width="11.85546875" style="3" customWidth="1"/>
    <col min="4" max="4" width="11.7109375" style="3" customWidth="1"/>
    <col min="5" max="5" width="16.28515625" style="3" customWidth="1"/>
    <col min="6" max="6" width="11.7109375" style="3" customWidth="1"/>
    <col min="7" max="7" width="17.85546875" style="3" customWidth="1"/>
    <col min="8" max="8" width="6.28515625" style="3" customWidth="1"/>
    <col min="9" max="9" width="7" style="3" hidden="1" customWidth="1"/>
    <col min="10" max="10" width="6.140625" style="3" hidden="1" customWidth="1"/>
    <col min="11" max="12" width="0" style="3" hidden="1" customWidth="1"/>
    <col min="13" max="13" width="7.140625" style="3" hidden="1" customWidth="1"/>
    <col min="14" max="16384" width="9.140625" style="3"/>
  </cols>
  <sheetData>
    <row r="1" spans="2:11" ht="15" customHeight="1" x14ac:dyDescent="0.2">
      <c r="B1" s="32" t="s">
        <v>71</v>
      </c>
      <c r="C1" s="30"/>
      <c r="D1" s="30"/>
      <c r="E1" s="30"/>
      <c r="F1" s="30"/>
      <c r="G1" s="30"/>
      <c r="H1" s="31"/>
      <c r="I1" s="31"/>
      <c r="J1" s="31"/>
      <c r="K1" s="31"/>
    </row>
    <row r="2" spans="2:11" ht="14.25" customHeight="1" x14ac:dyDescent="0.2">
      <c r="B2" s="1" t="s">
        <v>72</v>
      </c>
      <c r="C2" s="25"/>
      <c r="D2" s="25"/>
      <c r="E2" s="25"/>
      <c r="F2" s="25"/>
      <c r="G2" s="25"/>
      <c r="H2" s="31"/>
      <c r="I2" s="31"/>
      <c r="J2" s="31"/>
      <c r="K2" s="31"/>
    </row>
    <row r="3" spans="2:11" ht="57" x14ac:dyDescent="0.2">
      <c r="B3" s="36" t="s">
        <v>27</v>
      </c>
      <c r="C3" s="37" t="s">
        <v>102</v>
      </c>
      <c r="D3" s="38" t="s">
        <v>75</v>
      </c>
      <c r="E3" s="37" t="s">
        <v>28</v>
      </c>
      <c r="F3" s="38" t="s">
        <v>101</v>
      </c>
      <c r="G3" s="37" t="s">
        <v>26</v>
      </c>
    </row>
    <row r="4" spans="2:11" x14ac:dyDescent="0.2">
      <c r="B4" s="5" t="s">
        <v>0</v>
      </c>
      <c r="C4" s="28">
        <v>19</v>
      </c>
      <c r="D4" s="42">
        <v>14</v>
      </c>
      <c r="E4" s="28">
        <f t="shared" ref="E4:E28" si="0">SUM(C4)-D4</f>
        <v>5</v>
      </c>
      <c r="F4" s="42">
        <v>22</v>
      </c>
      <c r="G4" s="28">
        <f t="shared" ref="G4:G28" si="1">SUM(C4)-F4</f>
        <v>-3</v>
      </c>
      <c r="H4" s="7"/>
    </row>
    <row r="5" spans="2:11" x14ac:dyDescent="0.2">
      <c r="B5" s="5" t="s">
        <v>1</v>
      </c>
      <c r="C5" s="28">
        <v>7</v>
      </c>
      <c r="D5" s="42">
        <v>5</v>
      </c>
      <c r="E5" s="28">
        <f t="shared" si="0"/>
        <v>2</v>
      </c>
      <c r="F5" s="42">
        <v>3</v>
      </c>
      <c r="G5" s="28">
        <f t="shared" si="1"/>
        <v>4</v>
      </c>
      <c r="H5" s="7"/>
    </row>
    <row r="6" spans="2:11" x14ac:dyDescent="0.2">
      <c r="B6" s="5" t="s">
        <v>2</v>
      </c>
      <c r="C6" s="28">
        <v>91</v>
      </c>
      <c r="D6" s="42">
        <v>121</v>
      </c>
      <c r="E6" s="28">
        <f t="shared" si="0"/>
        <v>-30</v>
      </c>
      <c r="F6" s="42">
        <v>186</v>
      </c>
      <c r="G6" s="28">
        <f t="shared" si="1"/>
        <v>-95</v>
      </c>
      <c r="H6" s="7"/>
    </row>
    <row r="7" spans="2:11" x14ac:dyDescent="0.2">
      <c r="B7" s="5" t="s">
        <v>3</v>
      </c>
      <c r="C7" s="28">
        <v>103</v>
      </c>
      <c r="D7" s="42">
        <v>111</v>
      </c>
      <c r="E7" s="28">
        <f t="shared" si="0"/>
        <v>-8</v>
      </c>
      <c r="F7" s="42">
        <v>127</v>
      </c>
      <c r="G7" s="28">
        <f t="shared" si="1"/>
        <v>-24</v>
      </c>
      <c r="H7" s="7"/>
    </row>
    <row r="8" spans="2:11" x14ac:dyDescent="0.2">
      <c r="B8" s="5" t="s">
        <v>4</v>
      </c>
      <c r="C8" s="28">
        <v>149</v>
      </c>
      <c r="D8" s="42">
        <v>53</v>
      </c>
      <c r="E8" s="28">
        <f t="shared" si="0"/>
        <v>96</v>
      </c>
      <c r="F8" s="42">
        <v>68</v>
      </c>
      <c r="G8" s="28">
        <f t="shared" si="1"/>
        <v>81</v>
      </c>
      <c r="H8" s="7"/>
    </row>
    <row r="9" spans="2:11" x14ac:dyDescent="0.2">
      <c r="B9" s="5" t="s">
        <v>5</v>
      </c>
      <c r="C9" s="28">
        <v>84</v>
      </c>
      <c r="D9" s="42">
        <v>87</v>
      </c>
      <c r="E9" s="28">
        <f t="shared" si="0"/>
        <v>-3</v>
      </c>
      <c r="F9" s="42">
        <v>42</v>
      </c>
      <c r="G9" s="28">
        <f t="shared" si="1"/>
        <v>42</v>
      </c>
      <c r="H9" s="7"/>
    </row>
    <row r="10" spans="2:11" x14ac:dyDescent="0.2">
      <c r="B10" s="9" t="s">
        <v>6</v>
      </c>
      <c r="C10" s="28">
        <v>131</v>
      </c>
      <c r="D10" s="42">
        <v>75</v>
      </c>
      <c r="E10" s="28">
        <f t="shared" si="0"/>
        <v>56</v>
      </c>
      <c r="F10" s="42">
        <v>66</v>
      </c>
      <c r="G10" s="28">
        <f t="shared" si="1"/>
        <v>65</v>
      </c>
      <c r="H10" s="7"/>
    </row>
    <row r="11" spans="2:11" x14ac:dyDescent="0.2">
      <c r="B11" s="5" t="s">
        <v>7</v>
      </c>
      <c r="C11" s="28">
        <v>52</v>
      </c>
      <c r="D11" s="42">
        <v>26</v>
      </c>
      <c r="E11" s="28">
        <f t="shared" si="0"/>
        <v>26</v>
      </c>
      <c r="F11" s="42">
        <v>62</v>
      </c>
      <c r="G11" s="28">
        <f t="shared" si="1"/>
        <v>-10</v>
      </c>
      <c r="H11" s="7"/>
    </row>
    <row r="12" spans="2:11" x14ac:dyDescent="0.2">
      <c r="B12" s="5" t="s">
        <v>8</v>
      </c>
      <c r="C12" s="28">
        <v>116</v>
      </c>
      <c r="D12" s="42">
        <v>46</v>
      </c>
      <c r="E12" s="28">
        <f t="shared" si="0"/>
        <v>70</v>
      </c>
      <c r="F12" s="42">
        <v>72</v>
      </c>
      <c r="G12" s="28">
        <f t="shared" si="1"/>
        <v>44</v>
      </c>
      <c r="H12" s="7"/>
    </row>
    <row r="13" spans="2:11" x14ac:dyDescent="0.2">
      <c r="B13" s="5" t="s">
        <v>9</v>
      </c>
      <c r="C13" s="28">
        <v>73</v>
      </c>
      <c r="D13" s="42">
        <v>76</v>
      </c>
      <c r="E13" s="28">
        <f t="shared" si="0"/>
        <v>-3</v>
      </c>
      <c r="F13" s="42">
        <v>56</v>
      </c>
      <c r="G13" s="28">
        <f t="shared" si="1"/>
        <v>17</v>
      </c>
      <c r="H13" s="7"/>
    </row>
    <row r="14" spans="2:11" x14ac:dyDescent="0.2">
      <c r="B14" s="5" t="s">
        <v>10</v>
      </c>
      <c r="C14" s="28">
        <v>44</v>
      </c>
      <c r="D14" s="42">
        <v>38</v>
      </c>
      <c r="E14" s="28">
        <f t="shared" si="0"/>
        <v>6</v>
      </c>
      <c r="F14" s="42">
        <v>52</v>
      </c>
      <c r="G14" s="28">
        <f t="shared" si="1"/>
        <v>-8</v>
      </c>
      <c r="H14" s="7"/>
    </row>
    <row r="15" spans="2:11" x14ac:dyDescent="0.2">
      <c r="B15" s="5" t="s">
        <v>11</v>
      </c>
      <c r="C15" s="28">
        <v>327</v>
      </c>
      <c r="D15" s="42">
        <v>261</v>
      </c>
      <c r="E15" s="28">
        <f t="shared" si="0"/>
        <v>66</v>
      </c>
      <c r="F15" s="42">
        <v>222</v>
      </c>
      <c r="G15" s="28">
        <f t="shared" si="1"/>
        <v>105</v>
      </c>
      <c r="H15" s="7"/>
    </row>
    <row r="16" spans="2:11" x14ac:dyDescent="0.2">
      <c r="B16" s="5" t="s">
        <v>12</v>
      </c>
      <c r="C16" s="28">
        <v>69</v>
      </c>
      <c r="D16" s="42">
        <v>67</v>
      </c>
      <c r="E16" s="28">
        <f t="shared" si="0"/>
        <v>2</v>
      </c>
      <c r="F16" s="42">
        <v>86</v>
      </c>
      <c r="G16" s="28">
        <f t="shared" si="1"/>
        <v>-17</v>
      </c>
      <c r="H16" s="7"/>
    </row>
    <row r="17" spans="2:8" x14ac:dyDescent="0.2">
      <c r="B17" s="5" t="s">
        <v>13</v>
      </c>
      <c r="C17" s="28">
        <v>16</v>
      </c>
      <c r="D17" s="42">
        <v>19</v>
      </c>
      <c r="E17" s="28">
        <f t="shared" si="0"/>
        <v>-3</v>
      </c>
      <c r="F17" s="42">
        <v>4</v>
      </c>
      <c r="G17" s="28">
        <f t="shared" si="1"/>
        <v>12</v>
      </c>
      <c r="H17" s="7"/>
    </row>
    <row r="18" spans="2:8" x14ac:dyDescent="0.2">
      <c r="B18" s="5" t="s">
        <v>14</v>
      </c>
      <c r="C18" s="28">
        <v>124</v>
      </c>
      <c r="D18" s="42">
        <v>157</v>
      </c>
      <c r="E18" s="28">
        <f t="shared" si="0"/>
        <v>-33</v>
      </c>
      <c r="F18" s="42">
        <v>306</v>
      </c>
      <c r="G18" s="28">
        <f t="shared" si="1"/>
        <v>-182</v>
      </c>
      <c r="H18" s="7"/>
    </row>
    <row r="19" spans="2:8" x14ac:dyDescent="0.2">
      <c r="B19" s="5" t="s">
        <v>15</v>
      </c>
      <c r="C19" s="28">
        <v>53</v>
      </c>
      <c r="D19" s="42">
        <v>47</v>
      </c>
      <c r="E19" s="28">
        <f t="shared" si="0"/>
        <v>6</v>
      </c>
      <c r="F19" s="42">
        <v>58</v>
      </c>
      <c r="G19" s="28">
        <f t="shared" si="1"/>
        <v>-5</v>
      </c>
      <c r="H19" s="7"/>
    </row>
    <row r="20" spans="2:8" x14ac:dyDescent="0.2">
      <c r="B20" s="5" t="s">
        <v>16</v>
      </c>
      <c r="C20" s="28">
        <v>100</v>
      </c>
      <c r="D20" s="42">
        <v>86</v>
      </c>
      <c r="E20" s="28">
        <f t="shared" si="0"/>
        <v>14</v>
      </c>
      <c r="F20" s="42">
        <v>82</v>
      </c>
      <c r="G20" s="28">
        <f t="shared" si="1"/>
        <v>18</v>
      </c>
      <c r="H20" s="7"/>
    </row>
    <row r="21" spans="2:8" x14ac:dyDescent="0.2">
      <c r="B21" s="5" t="s">
        <v>17</v>
      </c>
      <c r="C21" s="28">
        <v>25</v>
      </c>
      <c r="D21" s="42">
        <v>28</v>
      </c>
      <c r="E21" s="28">
        <f t="shared" si="0"/>
        <v>-3</v>
      </c>
      <c r="F21" s="42">
        <v>46</v>
      </c>
      <c r="G21" s="28">
        <f t="shared" si="1"/>
        <v>-21</v>
      </c>
      <c r="H21" s="7"/>
    </row>
    <row r="22" spans="2:8" x14ac:dyDescent="0.2">
      <c r="B22" s="5" t="s">
        <v>18</v>
      </c>
      <c r="C22" s="28">
        <v>93</v>
      </c>
      <c r="D22" s="42">
        <v>60</v>
      </c>
      <c r="E22" s="28">
        <f t="shared" si="0"/>
        <v>33</v>
      </c>
      <c r="F22" s="42">
        <v>41</v>
      </c>
      <c r="G22" s="28">
        <f t="shared" si="1"/>
        <v>52</v>
      </c>
      <c r="H22" s="7"/>
    </row>
    <row r="23" spans="2:8" x14ac:dyDescent="0.2">
      <c r="B23" s="5" t="s">
        <v>19</v>
      </c>
      <c r="C23" s="28">
        <v>35</v>
      </c>
      <c r="D23" s="42">
        <v>78</v>
      </c>
      <c r="E23" s="28">
        <f t="shared" si="0"/>
        <v>-43</v>
      </c>
      <c r="F23" s="42">
        <v>25</v>
      </c>
      <c r="G23" s="28">
        <f t="shared" si="1"/>
        <v>10</v>
      </c>
      <c r="H23" s="7"/>
    </row>
    <row r="24" spans="2:8" x14ac:dyDescent="0.2">
      <c r="B24" s="5" t="s">
        <v>20</v>
      </c>
      <c r="C24" s="28">
        <v>40</v>
      </c>
      <c r="D24" s="42">
        <v>55</v>
      </c>
      <c r="E24" s="28">
        <f t="shared" si="0"/>
        <v>-15</v>
      </c>
      <c r="F24" s="42">
        <v>75</v>
      </c>
      <c r="G24" s="28">
        <f t="shared" si="1"/>
        <v>-35</v>
      </c>
      <c r="H24" s="7"/>
    </row>
    <row r="25" spans="2:8" x14ac:dyDescent="0.2">
      <c r="B25" s="5" t="s">
        <v>21</v>
      </c>
      <c r="C25" s="28">
        <v>120</v>
      </c>
      <c r="D25" s="42">
        <v>17</v>
      </c>
      <c r="E25" s="28">
        <f t="shared" si="0"/>
        <v>103</v>
      </c>
      <c r="F25" s="42">
        <v>34</v>
      </c>
      <c r="G25" s="28">
        <f t="shared" si="1"/>
        <v>86</v>
      </c>
      <c r="H25" s="7"/>
    </row>
    <row r="26" spans="2:8" x14ac:dyDescent="0.2">
      <c r="B26" s="5" t="s">
        <v>22</v>
      </c>
      <c r="C26" s="28">
        <v>15</v>
      </c>
      <c r="D26" s="42">
        <v>38</v>
      </c>
      <c r="E26" s="28">
        <f t="shared" si="0"/>
        <v>-23</v>
      </c>
      <c r="F26" s="42">
        <v>34</v>
      </c>
      <c r="G26" s="28">
        <f t="shared" si="1"/>
        <v>-19</v>
      </c>
      <c r="H26" s="7"/>
    </row>
    <row r="27" spans="2:8" x14ac:dyDescent="0.2">
      <c r="B27" s="5" t="s">
        <v>23</v>
      </c>
      <c r="C27" s="28">
        <v>217</v>
      </c>
      <c r="D27" s="42">
        <v>189</v>
      </c>
      <c r="E27" s="28">
        <f t="shared" si="0"/>
        <v>28</v>
      </c>
      <c r="F27" s="42">
        <v>283</v>
      </c>
      <c r="G27" s="28">
        <f t="shared" si="1"/>
        <v>-66</v>
      </c>
      <c r="H27" s="7"/>
    </row>
    <row r="28" spans="2:8" x14ac:dyDescent="0.2">
      <c r="B28" s="5" t="s">
        <v>24</v>
      </c>
      <c r="C28" s="28">
        <v>38</v>
      </c>
      <c r="D28" s="42">
        <v>31</v>
      </c>
      <c r="E28" s="28">
        <f t="shared" si="0"/>
        <v>7</v>
      </c>
      <c r="F28" s="42">
        <v>65</v>
      </c>
      <c r="G28" s="28">
        <f t="shared" si="1"/>
        <v>-27</v>
      </c>
      <c r="H28" s="7"/>
    </row>
    <row r="29" spans="2:8" ht="15" x14ac:dyDescent="0.25">
      <c r="B29" s="39" t="s">
        <v>25</v>
      </c>
      <c r="C29" s="48">
        <f>SUM(C4:C28)</f>
        <v>2141</v>
      </c>
      <c r="D29" s="44">
        <f>SUM(D4:D28)</f>
        <v>1785</v>
      </c>
      <c r="E29" s="48">
        <f>SUM(E4:E28)</f>
        <v>356</v>
      </c>
      <c r="F29" s="44">
        <f>SUM(F4:F28)</f>
        <v>2117</v>
      </c>
      <c r="G29" s="48">
        <f>SUM(G4:G28)</f>
        <v>24</v>
      </c>
      <c r="H29" s="7"/>
    </row>
    <row r="30" spans="2:8" ht="12" customHeight="1" x14ac:dyDescent="0.2">
      <c r="B30" s="4"/>
      <c r="C30" s="19"/>
      <c r="E30" s="7"/>
      <c r="G30" s="7"/>
    </row>
    <row r="31" spans="2:8" ht="9" customHeight="1" x14ac:dyDescent="0.2">
      <c r="B31" s="4"/>
    </row>
    <row r="32" spans="2:8" ht="12.75" customHeight="1" x14ac:dyDescent="0.2">
      <c r="B32" s="4"/>
    </row>
  </sheetData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704CE-3E48-45FF-A1F2-DBA69F4DCD6E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" style="3" customWidth="1"/>
    <col min="2" max="2" width="7.140625" style="3" customWidth="1"/>
    <col min="3" max="3" width="25.140625" style="3" customWidth="1"/>
    <col min="4" max="4" width="11.7109375" style="3" customWidth="1"/>
    <col min="5" max="5" width="11.85546875" style="3" customWidth="1"/>
    <col min="6" max="6" width="18.140625" style="3" customWidth="1"/>
    <col min="7" max="7" width="11.28515625" style="3" customWidth="1"/>
    <col min="8" max="8" width="18.85546875" style="3" customWidth="1"/>
    <col min="9" max="9" width="5.5703125" style="3" customWidth="1"/>
    <col min="10" max="10" width="4.5703125" style="3" customWidth="1"/>
    <col min="11" max="19" width="9.140625" style="3"/>
    <col min="20" max="20" width="4.5703125" style="3" customWidth="1"/>
    <col min="21" max="16384" width="9.140625" style="3"/>
  </cols>
  <sheetData>
    <row r="1" spans="2:8" ht="18.75" customHeight="1" x14ac:dyDescent="0.2">
      <c r="B1" s="2" t="s">
        <v>70</v>
      </c>
      <c r="C1" s="33"/>
      <c r="D1" s="33"/>
      <c r="E1" s="33"/>
      <c r="F1" s="33"/>
      <c r="G1" s="33"/>
      <c r="H1" s="33"/>
    </row>
    <row r="2" spans="2:8" ht="15" x14ac:dyDescent="0.2">
      <c r="C2" s="20"/>
      <c r="D2" s="21"/>
    </row>
    <row r="3" spans="2:8" ht="42.75" x14ac:dyDescent="0.2">
      <c r="B3" s="43" t="s">
        <v>42</v>
      </c>
      <c r="C3" s="36" t="str">
        <f>T('8oferty s.'!B3)</f>
        <v>powiaty</v>
      </c>
      <c r="D3" s="36" t="str">
        <f>T('8oferty s.'!C3)</f>
        <v>liczba ofert w 04-'24 r.</v>
      </c>
      <c r="E3" s="36" t="str">
        <f>T('8oferty s.'!D3)</f>
        <v>liczba ofert w 03-'24 r.</v>
      </c>
      <c r="F3" s="36" t="str">
        <f>T('8oferty s.'!E3)</f>
        <v>wzrost/spadek do poprzedniego  miesiąca</v>
      </c>
      <c r="G3" s="36" t="str">
        <f>T('8oferty s.'!F3)</f>
        <v>liczba ofert w 04-'23 r.</v>
      </c>
      <c r="H3" s="36" t="str">
        <f>T('8oferty s.'!G3)</f>
        <v>wzrost/spadek do analogicznego okresu ubr.</v>
      </c>
    </row>
    <row r="4" spans="2:8" x14ac:dyDescent="0.2">
      <c r="B4" s="6">
        <f>RANK('9of st. k.'!C4,'9of st. k.'!$C$4:'9of st. k.'!$C$29,1)+COUNTIF('9of st. k.'!$C$4:'9of st. k.'!C4,'9of st. k.'!C4)-1</f>
        <v>4</v>
      </c>
      <c r="C4" s="5" t="str">
        <f>INDEX('9of st. k.'!B4:G29,MATCH(1,B4:B29,0),1)</f>
        <v>brzozowski</v>
      </c>
      <c r="D4" s="24">
        <f>INDEX('9of st. k.'!B4:G29,MATCH(1,B4:B29,0),2)</f>
        <v>7</v>
      </c>
      <c r="E4" s="42">
        <f>INDEX('9of st. k.'!B4:G29,MATCH(1,B4:B29,0),3)</f>
        <v>5</v>
      </c>
      <c r="F4" s="6">
        <f>INDEX('9of st. k.'!B4:G29,MATCH(1,B4:B29,0),4)</f>
        <v>2</v>
      </c>
      <c r="G4" s="42">
        <f>INDEX('9of st. k.'!B4:G29,MATCH(1,B4:B29,0),5)</f>
        <v>3</v>
      </c>
      <c r="H4" s="6">
        <f>INDEX('9of st. k.'!B4:G29,MATCH(1,B4:B29,0),6)</f>
        <v>4</v>
      </c>
    </row>
    <row r="5" spans="2:8" x14ac:dyDescent="0.2">
      <c r="B5" s="6">
        <f>RANK('9of st. k.'!C5,'9of st. k.'!$C$4:'9of st. k.'!$C$29,1)+COUNTIF('9of st. k.'!$C$4:'9of st. k.'!C5,'9of st. k.'!C5)-1</f>
        <v>1</v>
      </c>
      <c r="C5" s="5" t="str">
        <f>INDEX('9of st. k.'!B4:G29,MATCH(2,B4:B29,0),1)</f>
        <v>Przemyśl</v>
      </c>
      <c r="D5" s="6">
        <f>INDEX('9of st. k.'!B4:G29,MATCH(2,B4:B29,0),2)</f>
        <v>15</v>
      </c>
      <c r="E5" s="42">
        <f>INDEX('9of st. k.'!B4:G29,MATCH(2,B4:B29,0),3)</f>
        <v>38</v>
      </c>
      <c r="F5" s="6">
        <f>INDEX('9of st. k.'!B4:G29,MATCH(2,B4:B29,0),4)</f>
        <v>-23</v>
      </c>
      <c r="G5" s="42">
        <f>INDEX('9of st. k.'!B4:G29,MATCH(2,B4:B29,0),5)</f>
        <v>34</v>
      </c>
      <c r="H5" s="6">
        <f>INDEX('9of st. k.'!B4:G29,MATCH(2,B4:B29,0),6)</f>
        <v>-19</v>
      </c>
    </row>
    <row r="6" spans="2:8" x14ac:dyDescent="0.2">
      <c r="B6" s="6">
        <f>RANK('9of st. k.'!C6,'9of st. k.'!$C$4:'9of st. k.'!$C$29,1)+COUNTIF('9of st. k.'!$C$4:'9of st. k.'!C6,'9of st. k.'!C6)-1</f>
        <v>15</v>
      </c>
      <c r="C6" s="5" t="str">
        <f>INDEX('9of st. k.'!B4:G29,MATCH(3,B4:B29,0),1)</f>
        <v>przemyski</v>
      </c>
      <c r="D6" s="6">
        <f>INDEX('9of st. k.'!B4:G29,MATCH(3,B4:B29,0),2)</f>
        <v>16</v>
      </c>
      <c r="E6" s="42">
        <f>INDEX('9of st. k.'!B4:G29,MATCH(3,B4:B29,0),3)</f>
        <v>19</v>
      </c>
      <c r="F6" s="6">
        <f>INDEX('9of st. k.'!B4:G29,MATCH(3,B4:B29,0),4)</f>
        <v>-3</v>
      </c>
      <c r="G6" s="42">
        <f>INDEX('9of st. k.'!B4:G29,MATCH(3,B4:B29,0),5)</f>
        <v>4</v>
      </c>
      <c r="H6" s="6">
        <f>INDEX('9of st. k.'!B4:G29,MATCH(3,B4:B29,0),6)</f>
        <v>12</v>
      </c>
    </row>
    <row r="7" spans="2:8" x14ac:dyDescent="0.2">
      <c r="B7" s="6">
        <f>RANK('9of st. k.'!C7,'9of st. k.'!$C$4:'9of st. k.'!$C$29,1)+COUNTIF('9of st. k.'!$C$4:'9of st. k.'!C7,'9of st. k.'!C7)-1</f>
        <v>18</v>
      </c>
      <c r="C7" s="5" t="str">
        <f>INDEX('9of st. k.'!B4:G29,MATCH(4,B4:B29,0),1)</f>
        <v>bieszczadzki</v>
      </c>
      <c r="D7" s="6">
        <f>INDEX('9of st. k.'!B4:G29,MATCH(4,B4:B29,0),2)</f>
        <v>19</v>
      </c>
      <c r="E7" s="42">
        <f>INDEX('9of st. k.'!B4:G29,MATCH(4,B4:B29,0),3)</f>
        <v>14</v>
      </c>
      <c r="F7" s="6">
        <f>INDEX('9of st. k.'!B4:G29,MATCH(4,B4:B29,0),4)</f>
        <v>5</v>
      </c>
      <c r="G7" s="42">
        <f>INDEX('9of st. k.'!B4:G29,MATCH(4,B4:B29,0),5)</f>
        <v>22</v>
      </c>
      <c r="H7" s="6">
        <f>INDEX('9of st. k.'!B4:G29,MATCH(4,B4:B29,0),6)</f>
        <v>-3</v>
      </c>
    </row>
    <row r="8" spans="2:8" x14ac:dyDescent="0.2">
      <c r="B8" s="6">
        <f>RANK('9of st. k.'!C8,'9of st. k.'!$C$4:'9of st. k.'!$C$29,1)+COUNTIF('9of st. k.'!$C$4:'9of st. k.'!C8,'9of st. k.'!C8)-1</f>
        <v>23</v>
      </c>
      <c r="C8" s="5" t="str">
        <f>INDEX('9of st. k.'!B4:G29,MATCH(5,B4:B29,0),1)</f>
        <v>sanocki</v>
      </c>
      <c r="D8" s="6">
        <f>INDEX('9of st. k.'!B4:G29,MATCH(5,B4:B29,0),2)</f>
        <v>25</v>
      </c>
      <c r="E8" s="42">
        <f>INDEX('9of st. k.'!B4:G29,MATCH(5,B4:B29,0),3)</f>
        <v>28</v>
      </c>
      <c r="F8" s="6">
        <f>INDEX('9of st. k.'!B4:G29,MATCH(5,B4:B29,0),4)</f>
        <v>-3</v>
      </c>
      <c r="G8" s="42">
        <f>INDEX('9of st. k.'!B4:G29,MATCH(5,B4:B29,0),5)</f>
        <v>46</v>
      </c>
      <c r="H8" s="6">
        <f>INDEX('9of st. k.'!B4:G29,MATCH(5,B4:B29,0),6)</f>
        <v>-21</v>
      </c>
    </row>
    <row r="9" spans="2:8" x14ac:dyDescent="0.2">
      <c r="B9" s="6">
        <f>RANK('9of st. k.'!C9,'9of st. k.'!$C$4:'9of st. k.'!$C$29,1)+COUNTIF('9of st. k.'!$C$4:'9of st. k.'!C9,'9of st. k.'!C9)-1</f>
        <v>14</v>
      </c>
      <c r="C9" s="5" t="str">
        <f>INDEX('9of st. k.'!B4:G29,MATCH(6,B4:B29,0),1)</f>
        <v>strzyżowski</v>
      </c>
      <c r="D9" s="6">
        <f>INDEX('9of st. k.'!B4:G29,MATCH(6,B4:B29,0),2)</f>
        <v>35</v>
      </c>
      <c r="E9" s="42">
        <f>INDEX('9of st. k.'!B4:G29,MATCH(6,B4:B29,0),3)</f>
        <v>78</v>
      </c>
      <c r="F9" s="6">
        <f>INDEX('9of st. k.'!B4:G29,MATCH(6,B4:B29,0),4)</f>
        <v>-43</v>
      </c>
      <c r="G9" s="42">
        <f>INDEX('9of st. k.'!B4:G29,MATCH(6,B4:B29,0),5)</f>
        <v>25</v>
      </c>
      <c r="H9" s="6">
        <f>INDEX('9of st. k.'!B4:G29,MATCH(6,B4:B29,0),6)</f>
        <v>10</v>
      </c>
    </row>
    <row r="10" spans="2:8" x14ac:dyDescent="0.2">
      <c r="B10" s="6">
        <f>RANK('9of st. k.'!C10,'9of st. k.'!$C$4:'9of st. k.'!$C$29,1)+COUNTIF('9of st. k.'!$C$4:'9of st. k.'!C10,'9of st. k.'!C10)-1</f>
        <v>22</v>
      </c>
      <c r="C10" s="9" t="str">
        <f>INDEX('9of st. k.'!B4:G29,MATCH(7,B4:B29,0),1)</f>
        <v>Tarnobrzeg</v>
      </c>
      <c r="D10" s="6">
        <f>INDEX('9of st. k.'!B4:G29,MATCH(7,B4:B29,0),2)</f>
        <v>38</v>
      </c>
      <c r="E10" s="42">
        <f>INDEX('9of st. k.'!B4:G29,MATCH(7,B4:B29,0),3)</f>
        <v>31</v>
      </c>
      <c r="F10" s="6">
        <f>INDEX('9of st. k.'!B4:G29,MATCH(7,B4:B29,0),4)</f>
        <v>7</v>
      </c>
      <c r="G10" s="42">
        <f>INDEX('9of st. k.'!B4:G29,MATCH(7,B4:B29,0),5)</f>
        <v>65</v>
      </c>
      <c r="H10" s="6">
        <f>INDEX('9of st. k.'!B4:G29,MATCH(7,B4:B29,0),6)</f>
        <v>-27</v>
      </c>
    </row>
    <row r="11" spans="2:8" x14ac:dyDescent="0.2">
      <c r="B11" s="6">
        <f>RANK('9of st. k.'!C11,'9of st. k.'!$C$4:'9of st. k.'!$C$29,1)+COUNTIF('9of st. k.'!$C$4:'9of st. k.'!C11,'9of st. k.'!C11)-1</f>
        <v>10</v>
      </c>
      <c r="C11" s="5" t="str">
        <f>INDEX('9of st. k.'!B4:G29,MATCH(8,B4:B29,0),1)</f>
        <v xml:space="preserve">tarnobrzeski </v>
      </c>
      <c r="D11" s="6">
        <f>INDEX('9of st. k.'!B4:G29,MATCH(8,B4:B29,0),2)</f>
        <v>40</v>
      </c>
      <c r="E11" s="42">
        <f>INDEX('9of st. k.'!B4:G29,MATCH(8,B4:B29,0),3)</f>
        <v>55</v>
      </c>
      <c r="F11" s="6">
        <f>INDEX('9of st. k.'!B4:G29,MATCH(8,B4:B29,0),4)</f>
        <v>-15</v>
      </c>
      <c r="G11" s="42">
        <f>INDEX('9of st. k.'!B4:G29,MATCH(8,B4:B29,0),5)</f>
        <v>75</v>
      </c>
      <c r="H11" s="6">
        <f>INDEX('9of st. k.'!B4:G29,MATCH(8,B4:B29,0),6)</f>
        <v>-35</v>
      </c>
    </row>
    <row r="12" spans="2:8" x14ac:dyDescent="0.2">
      <c r="B12" s="6">
        <f>RANK('9of st. k.'!C12,'9of st. k.'!$C$4:'9of st. k.'!$C$29,1)+COUNTIF('9of st. k.'!$C$4:'9of st. k.'!C12,'9of st. k.'!C12)-1</f>
        <v>19</v>
      </c>
      <c r="C12" s="5" t="str">
        <f>INDEX('9of st. k.'!B4:G29,MATCH(9,B4:B29,0),1)</f>
        <v>łańcucki</v>
      </c>
      <c r="D12" s="6">
        <f>INDEX('9of st. k.'!B4:G29,MATCH(9,B4:B29,0),2)</f>
        <v>44</v>
      </c>
      <c r="E12" s="42">
        <f>INDEX('9of st. k.'!B4:G29,MATCH(9,B4:B29,0),3)</f>
        <v>38</v>
      </c>
      <c r="F12" s="6">
        <f>INDEX('9of st. k.'!B4:G29,MATCH(9,B4:B29,0),4)</f>
        <v>6</v>
      </c>
      <c r="G12" s="42">
        <f>INDEX('9of st. k.'!B4:G29,MATCH(9,B4:B29,0),5)</f>
        <v>52</v>
      </c>
      <c r="H12" s="6">
        <f>INDEX('9of st. k.'!B4:G29,MATCH(9,B4:B29,0),6)</f>
        <v>-8</v>
      </c>
    </row>
    <row r="13" spans="2:8" x14ac:dyDescent="0.2">
      <c r="B13" s="6">
        <f>RANK('9of st. k.'!C13,'9of st. k.'!$C$4:'9of st. k.'!$C$29,1)+COUNTIF('9of st. k.'!$C$4:'9of st. k.'!C13,'9of st. k.'!C13)-1</f>
        <v>13</v>
      </c>
      <c r="C13" s="5" t="str">
        <f>INDEX('9of st. k.'!B4:G29,MATCH(10,B4:B29,0),1)</f>
        <v>leski</v>
      </c>
      <c r="D13" s="6">
        <f>INDEX('9of st. k.'!B4:G29,MATCH(10,B4:B29,0),2)</f>
        <v>52</v>
      </c>
      <c r="E13" s="42">
        <f>INDEX('9of st. k.'!B4:G29,MATCH(10,B4:B29,0),3)</f>
        <v>26</v>
      </c>
      <c r="F13" s="6">
        <f>INDEX('9of st. k.'!B4:G29,MATCH(10,B4:B29,0),4)</f>
        <v>26</v>
      </c>
      <c r="G13" s="42">
        <f>INDEX('9of st. k.'!B4:G29,MATCH(10,B4:B29,0),5)</f>
        <v>62</v>
      </c>
      <c r="H13" s="6">
        <f>INDEX('9of st. k.'!B4:G29,MATCH(10,B4:B29,0),6)</f>
        <v>-10</v>
      </c>
    </row>
    <row r="14" spans="2:8" x14ac:dyDescent="0.2">
      <c r="B14" s="6">
        <f>RANK('9of st. k.'!C14,'9of st. k.'!$C$4:'9of st. k.'!$C$29,1)+COUNTIF('9of st. k.'!$C$4:'9of st. k.'!C14,'9of st. k.'!C14)-1</f>
        <v>9</v>
      </c>
      <c r="C14" s="5" t="str">
        <f>INDEX('9of st. k.'!B4:G29,MATCH(11,B4:B29,0),1)</f>
        <v>ropczycko-sędziszowski</v>
      </c>
      <c r="D14" s="6">
        <f>INDEX('9of st. k.'!B4:G29,MATCH(11,B4:B29,0),2)</f>
        <v>53</v>
      </c>
      <c r="E14" s="42">
        <f>INDEX('9of st. k.'!B4:G29,MATCH(11,B4:B29,0),3)</f>
        <v>47</v>
      </c>
      <c r="F14" s="6">
        <f>INDEX('9of st. k.'!B4:G29,MATCH(11,B4:B29,0),4)</f>
        <v>6</v>
      </c>
      <c r="G14" s="42">
        <f>INDEX('9of st. k.'!B4:G29,MATCH(11,B4:B29,0),5)</f>
        <v>58</v>
      </c>
      <c r="H14" s="6">
        <f>INDEX('9of st. k.'!B4:G29,MATCH(11,B4:B29,0),6)</f>
        <v>-5</v>
      </c>
    </row>
    <row r="15" spans="2:8" x14ac:dyDescent="0.2">
      <c r="B15" s="6">
        <f>RANK('9of st. k.'!C15,'9of st. k.'!$C$4:'9of st. k.'!$C$29,1)+COUNTIF('9of st. k.'!$C$4:'9of st. k.'!C15,'9of st. k.'!C15)-1</f>
        <v>25</v>
      </c>
      <c r="C15" s="5" t="str">
        <f>INDEX('9of st. k.'!B4:G29,MATCH(12,B4:B29,0),1)</f>
        <v>niżański</v>
      </c>
      <c r="D15" s="6">
        <f>INDEX('9of st. k.'!B4:G29,MATCH(12,B4:B29,0),2)</f>
        <v>69</v>
      </c>
      <c r="E15" s="42">
        <f>INDEX('9of st. k.'!B4:G29,MATCH(12,B4:B29,0),3)</f>
        <v>67</v>
      </c>
      <c r="F15" s="6">
        <f>INDEX('9of st. k.'!B4:G29,MATCH(12,B4:B29,0),4)</f>
        <v>2</v>
      </c>
      <c r="G15" s="42">
        <f>INDEX('9of st. k.'!B4:G29,MATCH(12,B4:B29,0),5)</f>
        <v>86</v>
      </c>
      <c r="H15" s="6">
        <f>INDEX('9of st. k.'!B4:G29,MATCH(12,B4:B29,0),6)</f>
        <v>-17</v>
      </c>
    </row>
    <row r="16" spans="2:8" x14ac:dyDescent="0.2">
      <c r="B16" s="6">
        <f>RANK('9of st. k.'!C16,'9of st. k.'!$C$4:'9of st. k.'!$C$29,1)+COUNTIF('9of st. k.'!$C$4:'9of st. k.'!C16,'9of st. k.'!C16)-1</f>
        <v>12</v>
      </c>
      <c r="C16" s="5" t="str">
        <f>INDEX('9of st. k.'!B4:G29,MATCH(13,B4:B29,0),1)</f>
        <v>lubaczowski</v>
      </c>
      <c r="D16" s="6">
        <f>INDEX('9of st. k.'!B4:G29,MATCH(13,B4:B29,0),2)</f>
        <v>73</v>
      </c>
      <c r="E16" s="42">
        <f>INDEX('9of st. k.'!B4:G29,MATCH(13,B4:B29,0),3)</f>
        <v>76</v>
      </c>
      <c r="F16" s="6">
        <f>INDEX('9of st. k.'!B4:G29,MATCH(13,B4:B29,0),4)</f>
        <v>-3</v>
      </c>
      <c r="G16" s="42">
        <f>INDEX('9of st. k.'!B4:G29,MATCH(13,B4:B29,0),5)</f>
        <v>56</v>
      </c>
      <c r="H16" s="6">
        <f>INDEX('9of st. k.'!B4:G29,MATCH(13,B4:B29,0),6)</f>
        <v>17</v>
      </c>
    </row>
    <row r="17" spans="2:8" x14ac:dyDescent="0.2">
      <c r="B17" s="6">
        <f>RANK('9of st. k.'!C17,'9of st. k.'!$C$4:'9of st. k.'!$C$29,1)+COUNTIF('9of st. k.'!$C$4:'9of st. k.'!C17,'9of st. k.'!C17)-1</f>
        <v>3</v>
      </c>
      <c r="C17" s="5" t="str">
        <f>INDEX('9of st. k.'!B4:G29,MATCH(14,B4:B29,0),1)</f>
        <v>kolbuszowski</v>
      </c>
      <c r="D17" s="6">
        <f>INDEX('9of st. k.'!B4:G29,MATCH(14,B4:B29,0),2)</f>
        <v>84</v>
      </c>
      <c r="E17" s="42">
        <f>INDEX('9of st. k.'!B4:G29,MATCH(14,B4:B29,0),3)</f>
        <v>87</v>
      </c>
      <c r="F17" s="6">
        <f>INDEX('9of st. k.'!B4:G29,MATCH(14,B4:B29,0),4)</f>
        <v>-3</v>
      </c>
      <c r="G17" s="42">
        <f>INDEX('9of st. k.'!B4:G29,MATCH(14,B4:B29,0),5)</f>
        <v>42</v>
      </c>
      <c r="H17" s="6">
        <f>INDEX('9of st. k.'!B4:G29,MATCH(14,B4:B29,0),6)</f>
        <v>42</v>
      </c>
    </row>
    <row r="18" spans="2:8" x14ac:dyDescent="0.2">
      <c r="B18" s="6">
        <f>RANK('9of st. k.'!C18,'9of st. k.'!$C$4:'9of st. k.'!$C$29,1)+COUNTIF('9of st. k.'!$C$4:'9of st. k.'!C18,'9of st. k.'!C18)-1</f>
        <v>21</v>
      </c>
      <c r="C18" s="5" t="str">
        <f>INDEX('9of st. k.'!B4:G29,MATCH(15,B4:B29,0),1)</f>
        <v>dębicki</v>
      </c>
      <c r="D18" s="6">
        <f>INDEX('9of st. k.'!B4:G29,MATCH(15,B4:B29,0),2)</f>
        <v>91</v>
      </c>
      <c r="E18" s="42">
        <f>INDEX('9of st. k.'!B4:G29,MATCH(15,B4:B29,0),3)</f>
        <v>121</v>
      </c>
      <c r="F18" s="6">
        <f>INDEX('9of st. k.'!B4:G29,MATCH(15,B4:B29,0),4)</f>
        <v>-30</v>
      </c>
      <c r="G18" s="42">
        <f>INDEX('9of st. k.'!B4:G29,MATCH(15,B4:B29,0),5)</f>
        <v>186</v>
      </c>
      <c r="H18" s="6">
        <f>INDEX('9of st. k.'!B4:G29,MATCH(15,B4:B29,0),6)</f>
        <v>-95</v>
      </c>
    </row>
    <row r="19" spans="2:8" x14ac:dyDescent="0.2">
      <c r="B19" s="6">
        <f>RANK('9of st. k.'!C19,'9of st. k.'!$C$4:'9of st. k.'!$C$29,1)+COUNTIF('9of st. k.'!$C$4:'9of st. k.'!C19,'9of st. k.'!C19)-1</f>
        <v>11</v>
      </c>
      <c r="C19" s="5" t="str">
        <f>INDEX('9of st. k.'!B4:G29,MATCH(16,B4:B29,0),1)</f>
        <v>stalowowolski</v>
      </c>
      <c r="D19" s="6">
        <f>INDEX('9of st. k.'!B4:G29,MATCH(16,B4:B29,0),2)</f>
        <v>93</v>
      </c>
      <c r="E19" s="42">
        <f>INDEX('9of st. k.'!B4:G29,MATCH(16,B4:B29,0),3)</f>
        <v>60</v>
      </c>
      <c r="F19" s="6">
        <f>INDEX('9of st. k.'!B4:G29,MATCH(16,B4:B29,0),4)</f>
        <v>33</v>
      </c>
      <c r="G19" s="42">
        <f>INDEX('9of st. k.'!B4:G29,MATCH(16,B4:B29,0),5)</f>
        <v>41</v>
      </c>
      <c r="H19" s="6">
        <f>INDEX('9of st. k.'!B4:G29,MATCH(16,B4:B29,0),6)</f>
        <v>52</v>
      </c>
    </row>
    <row r="20" spans="2:8" x14ac:dyDescent="0.2">
      <c r="B20" s="6">
        <f>RANK('9of st. k.'!C20,'9of st. k.'!$C$4:'9of st. k.'!$C$29,1)+COUNTIF('9of st. k.'!$C$4:'9of st. k.'!C20,'9of st. k.'!C20)-1</f>
        <v>17</v>
      </c>
      <c r="C20" s="5" t="str">
        <f>INDEX('9of st. k.'!B4:G29,MATCH(17,B4:B29,0),1)</f>
        <v>rzeszowski</v>
      </c>
      <c r="D20" s="6">
        <f>INDEX('9of st. k.'!B4:G29,MATCH(17,B4:B29,0),2)</f>
        <v>100</v>
      </c>
      <c r="E20" s="42">
        <f>INDEX('9of st. k.'!B4:G29,MATCH(17,B4:B29,0),3)</f>
        <v>86</v>
      </c>
      <c r="F20" s="6">
        <f>INDEX('9of st. k.'!B4:G29,MATCH(17,B4:B29,0),4)</f>
        <v>14</v>
      </c>
      <c r="G20" s="42">
        <f>INDEX('9of st. k.'!B4:G29,MATCH(17,B4:B29,0),5)</f>
        <v>82</v>
      </c>
      <c r="H20" s="6">
        <f>INDEX('9of st. k.'!B4:G29,MATCH(17,B4:B29,0),6)</f>
        <v>18</v>
      </c>
    </row>
    <row r="21" spans="2:8" x14ac:dyDescent="0.2">
      <c r="B21" s="6">
        <f>RANK('9of st. k.'!C21,'9of st. k.'!$C$4:'9of st. k.'!$C$29,1)+COUNTIF('9of st. k.'!$C$4:'9of st. k.'!C21,'9of st. k.'!C21)-1</f>
        <v>5</v>
      </c>
      <c r="C21" s="5" t="str">
        <f>INDEX('9of st. k.'!B4:G29,MATCH(18,B4:B29,0),1)</f>
        <v>jarosławski</v>
      </c>
      <c r="D21" s="6">
        <f>INDEX('9of st. k.'!B4:G29,MATCH(18,B4:B29,0),2)</f>
        <v>103</v>
      </c>
      <c r="E21" s="42">
        <f>INDEX('9of st. k.'!B4:G29,MATCH(18,B4:B29,0),3)</f>
        <v>111</v>
      </c>
      <c r="F21" s="6">
        <f>INDEX('9of st. k.'!B4:G29,MATCH(18,B4:B29,0),4)</f>
        <v>-8</v>
      </c>
      <c r="G21" s="42">
        <f>INDEX('9of st. k.'!B4:G29,MATCH(18,B4:B29,0),5)</f>
        <v>127</v>
      </c>
      <c r="H21" s="6">
        <f>INDEX('9of st. k.'!B4:G29,MATCH(18,B4:B29,0),6)</f>
        <v>-24</v>
      </c>
    </row>
    <row r="22" spans="2:8" x14ac:dyDescent="0.2">
      <c r="B22" s="6">
        <f>RANK('9of st. k.'!C22,'9of st. k.'!$C$4:'9of st. k.'!$C$29,1)+COUNTIF('9of st. k.'!$C$4:'9of st. k.'!C22,'9of st. k.'!C22)-1</f>
        <v>16</v>
      </c>
      <c r="C22" s="5" t="str">
        <f>INDEX('9of st. k.'!B4:G29,MATCH(19,B4:B29,0),1)</f>
        <v>leżajski</v>
      </c>
      <c r="D22" s="6">
        <f>INDEX('9of st. k.'!B4:G29,MATCH(19,B4:B29,0),2)</f>
        <v>116</v>
      </c>
      <c r="E22" s="42">
        <f>INDEX('9of st. k.'!B4:G29,MATCH(19,B4:B29,0),3)</f>
        <v>46</v>
      </c>
      <c r="F22" s="6">
        <f>INDEX('9of st. k.'!B4:G29,MATCH(19,B4:B29,0),4)</f>
        <v>70</v>
      </c>
      <c r="G22" s="42">
        <f>INDEX('9of st. k.'!B4:G29,MATCH(19,B4:B29,0),5)</f>
        <v>72</v>
      </c>
      <c r="H22" s="6">
        <f>INDEX('9of st. k.'!B4:G29,MATCH(19,B4:B29,0),6)</f>
        <v>44</v>
      </c>
    </row>
    <row r="23" spans="2:8" x14ac:dyDescent="0.2">
      <c r="B23" s="6">
        <f>RANK('9of st. k.'!C23,'9of st. k.'!$C$4:'9of st. k.'!$C$29,1)+COUNTIF('9of st. k.'!$C$4:'9of st. k.'!C23,'9of st. k.'!C23)-1</f>
        <v>6</v>
      </c>
      <c r="C23" s="5" t="str">
        <f>INDEX('9of st. k.'!B4:G29,MATCH(20,B4:B29,0),1)</f>
        <v>Krosno</v>
      </c>
      <c r="D23" s="6">
        <f>INDEX('9of st. k.'!B4:G29,MATCH(20,B4:B29,0),2)</f>
        <v>120</v>
      </c>
      <c r="E23" s="42">
        <f>INDEX('9of st. k.'!B4:G29,MATCH(20,B4:B29,0),3)</f>
        <v>17</v>
      </c>
      <c r="F23" s="6">
        <f>INDEX('9of st. k.'!B4:G29,MATCH(20,B4:B29,0),4)</f>
        <v>103</v>
      </c>
      <c r="G23" s="42">
        <f>INDEX('9of st. k.'!B4:G29,MATCH(20,B4:B29,0),5)</f>
        <v>34</v>
      </c>
      <c r="H23" s="6">
        <f>INDEX('9of st. k.'!B4:G29,MATCH(20,B4:B29,0),6)</f>
        <v>86</v>
      </c>
    </row>
    <row r="24" spans="2:8" x14ac:dyDescent="0.2">
      <c r="B24" s="6">
        <f>RANK('9of st. k.'!C24,'9of st. k.'!$C$4:'9of st. k.'!$C$29,1)+COUNTIF('9of st. k.'!$C$4:'9of st. k.'!C24,'9of st. k.'!C24)-1</f>
        <v>8</v>
      </c>
      <c r="C24" s="5" t="str">
        <f>INDEX('9of st. k.'!B4:G29,MATCH(21,B4:B29,0),1)</f>
        <v>przeworski</v>
      </c>
      <c r="D24" s="6">
        <f>INDEX('9of st. k.'!B4:G29,MATCH(21,B4:B29,0),2)</f>
        <v>124</v>
      </c>
      <c r="E24" s="42">
        <f>INDEX('9of st. k.'!B4:G29,MATCH(21,B4:B29,0),3)</f>
        <v>157</v>
      </c>
      <c r="F24" s="6">
        <f>INDEX('9of st. k.'!B4:G29,MATCH(21,B4:B29,0),4)</f>
        <v>-33</v>
      </c>
      <c r="G24" s="42">
        <f>INDEX('9of st. k.'!B4:G29,MATCH(21,B4:B29,0),5)</f>
        <v>306</v>
      </c>
      <c r="H24" s="6">
        <f>INDEX('9of st. k.'!B4:G29,MATCH(21,B4:B29,0),6)</f>
        <v>-182</v>
      </c>
    </row>
    <row r="25" spans="2:8" x14ac:dyDescent="0.2">
      <c r="B25" s="6">
        <f>RANK('9of st. k.'!C25,'9of st. k.'!$C$4:'9of st. k.'!$C$29,1)+COUNTIF('9of st. k.'!$C$4:'9of st. k.'!C25,'9of st. k.'!C25)-1</f>
        <v>20</v>
      </c>
      <c r="C25" s="5" t="str">
        <f>INDEX('9of st. k.'!B4:G29,MATCH(22,B4:B29,0),1)</f>
        <v>krośnieński</v>
      </c>
      <c r="D25" s="6">
        <f>INDEX('9of st. k.'!B4:G29,MATCH(22,B4:B29,0),2)</f>
        <v>131</v>
      </c>
      <c r="E25" s="42">
        <f>INDEX('9of st. k.'!B4:G29,MATCH(22,B4:B29,0),3)</f>
        <v>75</v>
      </c>
      <c r="F25" s="6">
        <f>INDEX('9of st. k.'!B4:G29,MATCH(22,B4:B29,0),4)</f>
        <v>56</v>
      </c>
      <c r="G25" s="42">
        <f>INDEX('9of st. k.'!B4:G29,MATCH(22,B4:B29,0),5)</f>
        <v>66</v>
      </c>
      <c r="H25" s="6">
        <f>INDEX('9of st. k.'!B4:G29,MATCH(22,B4:B29,0),6)</f>
        <v>65</v>
      </c>
    </row>
    <row r="26" spans="2:8" x14ac:dyDescent="0.2">
      <c r="B26" s="6">
        <f>RANK('9of st. k.'!C26,'9of st. k.'!$C$4:'9of st. k.'!$C$29,1)+COUNTIF('9of st. k.'!$C$4:'9of st. k.'!C26,'9of st. k.'!C26)-1</f>
        <v>2</v>
      </c>
      <c r="C26" s="5" t="str">
        <f>INDEX('9of st. k.'!B4:G29,MATCH(23,B4:B29,0),1)</f>
        <v>jasielski</v>
      </c>
      <c r="D26" s="6">
        <f>INDEX('9of st. k.'!B4:G29,MATCH(23,B4:B29,0),2)</f>
        <v>149</v>
      </c>
      <c r="E26" s="42">
        <f>INDEX('9of st. k.'!B4:G29,MATCH(23,B4:B29,0),3)</f>
        <v>53</v>
      </c>
      <c r="F26" s="6">
        <f>INDEX('9of st. k.'!B4:G29,MATCH(23,B4:B29,0),4)</f>
        <v>96</v>
      </c>
      <c r="G26" s="42">
        <f>INDEX('9of st. k.'!B4:G29,MATCH(23,B4:B29,0),5)</f>
        <v>68</v>
      </c>
      <c r="H26" s="6">
        <f>INDEX('9of st. k.'!B4:G29,MATCH(23,B4:B29,0),6)</f>
        <v>81</v>
      </c>
    </row>
    <row r="27" spans="2:8" x14ac:dyDescent="0.2">
      <c r="B27" s="6">
        <f>RANK('9of st. k.'!C27,'9of st. k.'!$C$4:'9of st. k.'!$C$29,1)+COUNTIF('9of st. k.'!$C$4:'9of st. k.'!C27,'9of st. k.'!C27)-1</f>
        <v>24</v>
      </c>
      <c r="C27" s="5" t="str">
        <f>INDEX('9of st. k.'!B4:G29,MATCH(24,B4:B29,0),1)</f>
        <v>Rzeszów</v>
      </c>
      <c r="D27" s="6">
        <f>INDEX('9of st. k.'!B4:G29,MATCH(24,B4:B29,0),2)</f>
        <v>217</v>
      </c>
      <c r="E27" s="42">
        <f>INDEX('9of st. k.'!B4:G29,MATCH(24,B4:B29,0),3)</f>
        <v>189</v>
      </c>
      <c r="F27" s="6">
        <f>INDEX('9of st. k.'!B4:G29,MATCH(24,B4:B29,0),4)</f>
        <v>28</v>
      </c>
      <c r="G27" s="42">
        <f>INDEX('9of st. k.'!B4:G29,MATCH(24,B4:B29,0),5)</f>
        <v>283</v>
      </c>
      <c r="H27" s="6">
        <f>INDEX('9of st. k.'!B4:G29,MATCH(24,B4:B29,0),6)</f>
        <v>-66</v>
      </c>
    </row>
    <row r="28" spans="2:8" x14ac:dyDescent="0.2">
      <c r="B28" s="6">
        <f>RANK('9of st. k.'!C28,'9of st. k.'!$C$4:'9of st. k.'!$C$29,1)+COUNTIF('9of st. k.'!$C$4:'9of st. k.'!C28,'9of st. k.'!C28)-1</f>
        <v>7</v>
      </c>
      <c r="C28" s="5" t="str">
        <f>INDEX('9of st. k.'!B4:G29,MATCH(25,B4:B29,0),1)</f>
        <v>mielecki</v>
      </c>
      <c r="D28" s="6">
        <f>INDEX('9of st. k.'!B4:G29,MATCH(25,B4:B29,0),2)</f>
        <v>327</v>
      </c>
      <c r="E28" s="42">
        <f>INDEX('9of st. k.'!B4:G29,MATCH(25,B4:B29,0),3)</f>
        <v>261</v>
      </c>
      <c r="F28" s="6">
        <f>INDEX('9of st. k.'!B4:G29,MATCH(25,B4:B29,0),4)</f>
        <v>66</v>
      </c>
      <c r="G28" s="42">
        <f>INDEX('9of st. k.'!B4:G29,MATCH(25,B4:B29,0),5)</f>
        <v>222</v>
      </c>
      <c r="H28" s="6">
        <f>INDEX('9of st. k.'!B4:G29,MATCH(25,B4:B29,0),6)</f>
        <v>105</v>
      </c>
    </row>
    <row r="29" spans="2:8" ht="15" x14ac:dyDescent="0.25">
      <c r="B29" s="40">
        <f>RANK('9of st. k.'!C29,'9of st. k.'!$C$4:'9of st. k.'!$C$29,1)+COUNTIF('9of st. k.'!$C$4:'9of st. k.'!C29,'9of st. k.'!C29)-1</f>
        <v>26</v>
      </c>
      <c r="C29" s="39" t="str">
        <f>INDEX('9of st. k.'!B4:G29,MATCH(26,B4:B29,0),1)</f>
        <v>województwo</v>
      </c>
      <c r="D29" s="40">
        <f>INDEX('9of st. k.'!B4:G29,MATCH(26,B4:B29,0),2)</f>
        <v>2141</v>
      </c>
      <c r="E29" s="44">
        <f>INDEX('9of st. k.'!B4:G29,MATCH(26,B4:B29,0),3)</f>
        <v>1785</v>
      </c>
      <c r="F29" s="40">
        <f>INDEX('9of st. k.'!B4:G29,MATCH(26,B4:B29,0),4)</f>
        <v>356</v>
      </c>
      <c r="G29" s="44">
        <f>INDEX('9of st. k.'!B4:G29,MATCH(26,B4:B29,0),5)</f>
        <v>2117</v>
      </c>
      <c r="H29" s="40">
        <f>INDEX('9of st. k.'!B4:G29,MATCH(26,B4:B29,0),6)</f>
        <v>24</v>
      </c>
    </row>
  </sheetData>
  <pageMargins left="0.7" right="0.7" top="0.75" bottom="0.75" header="0.3" footer="0.3"/>
  <pageSetup paperSize="9" scale="64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2C61C-DB06-4959-828A-8B6385917232}">
  <sheetPr>
    <tabColor theme="0"/>
    <pageSetUpPr fitToPage="1"/>
  </sheetPr>
  <dimension ref="B1:AI30"/>
  <sheetViews>
    <sheetView zoomScaleNormal="100" workbookViewId="0">
      <selection activeCell="B1" sqref="B1"/>
    </sheetView>
  </sheetViews>
  <sheetFormatPr defaultRowHeight="11.25" x14ac:dyDescent="0.2"/>
  <cols>
    <col min="1" max="1" width="2" style="51" customWidth="1"/>
    <col min="2" max="2" width="3.5703125" style="51" customWidth="1"/>
    <col min="3" max="3" width="17.85546875" style="51" customWidth="1"/>
    <col min="4" max="5" width="9.5703125" style="51" customWidth="1"/>
    <col min="6" max="6" width="6.28515625" style="51" customWidth="1"/>
    <col min="7" max="7" width="2.28515625" style="51" customWidth="1"/>
    <col min="8" max="8" width="8.7109375" style="51" customWidth="1"/>
    <col min="9" max="9" width="8.5703125" style="51" customWidth="1"/>
    <col min="10" max="10" width="6.7109375" style="51" customWidth="1"/>
    <col min="11" max="11" width="2.42578125" style="51" customWidth="1"/>
    <col min="12" max="12" width="8" style="51" customWidth="1"/>
    <col min="13" max="13" width="7.42578125" style="51" customWidth="1"/>
    <col min="14" max="14" width="6.5703125" style="51" customWidth="1"/>
    <col min="15" max="15" width="2.28515625" style="51" customWidth="1"/>
    <col min="16" max="16" width="5.85546875" style="51" customWidth="1"/>
    <col min="17" max="17" width="2" style="51" customWidth="1"/>
    <col min="18" max="18" width="7" style="51" customWidth="1"/>
    <col min="19" max="19" width="7.7109375" style="51" customWidth="1"/>
    <col min="20" max="20" width="12.28515625" style="51" customWidth="1"/>
    <col min="21" max="21" width="2.140625" style="51" customWidth="1"/>
    <col min="22" max="22" width="6.42578125" style="51" customWidth="1"/>
    <col min="23" max="23" width="7" style="51" customWidth="1"/>
    <col min="24" max="24" width="11.5703125" style="51" customWidth="1"/>
    <col min="25" max="25" width="1.85546875" style="51" customWidth="1"/>
    <col min="26" max="26" width="6" style="74" customWidth="1"/>
    <col min="27" max="27" width="18.7109375" style="51" customWidth="1"/>
    <col min="28" max="28" width="6" style="51" customWidth="1"/>
    <col min="29" max="29" width="2.42578125" style="51" customWidth="1"/>
    <col min="30" max="30" width="6" style="51" customWidth="1"/>
    <col min="31" max="31" width="18.85546875" style="51" customWidth="1"/>
    <col min="32" max="32" width="5.28515625" style="51" customWidth="1"/>
    <col min="33" max="33" width="1.5703125" style="51" customWidth="1"/>
    <col min="34" max="34" width="4.140625" style="51" customWidth="1"/>
    <col min="35" max="35" width="4.42578125" style="51" customWidth="1"/>
    <col min="36" max="16384" width="9.140625" style="51"/>
  </cols>
  <sheetData>
    <row r="1" spans="2:35" ht="11.25" customHeight="1" x14ac:dyDescent="0.2">
      <c r="C1" s="107" t="s">
        <v>62</v>
      </c>
      <c r="D1" s="105"/>
      <c r="E1" s="105"/>
      <c r="F1" s="105"/>
      <c r="G1" s="34"/>
      <c r="H1" s="34"/>
      <c r="I1" s="34"/>
      <c r="J1" s="34"/>
      <c r="K1" s="34"/>
      <c r="L1" s="34"/>
      <c r="M1" s="34"/>
      <c r="N1" s="34"/>
      <c r="O1" s="34"/>
      <c r="Q1" s="50"/>
      <c r="S1" s="34"/>
      <c r="U1" s="50"/>
      <c r="X1" s="34"/>
      <c r="Y1" s="50"/>
    </row>
    <row r="2" spans="2:35" ht="13.5" customHeight="1" thickBot="1" x14ac:dyDescent="0.25">
      <c r="C2" s="106" t="s">
        <v>58</v>
      </c>
      <c r="D2" s="102"/>
      <c r="E2" s="102"/>
      <c r="F2" s="102"/>
      <c r="G2" s="103"/>
      <c r="H2" s="106" t="s">
        <v>59</v>
      </c>
      <c r="I2" s="103"/>
      <c r="J2" s="103"/>
      <c r="K2" s="103"/>
      <c r="L2" s="106" t="s">
        <v>60</v>
      </c>
      <c r="M2" s="103"/>
      <c r="N2" s="103"/>
      <c r="O2" s="103"/>
      <c r="P2" s="50"/>
      <c r="Q2" s="85"/>
      <c r="R2" s="118" t="s">
        <v>69</v>
      </c>
      <c r="S2" s="103"/>
      <c r="T2" s="50"/>
      <c r="U2" s="85"/>
      <c r="V2" s="50"/>
      <c r="W2" s="50"/>
      <c r="X2" s="103"/>
      <c r="Y2" s="85"/>
      <c r="Z2" s="104"/>
      <c r="AA2" s="86"/>
      <c r="AB2" s="86"/>
      <c r="AC2" s="86"/>
      <c r="AD2" s="86"/>
      <c r="AE2" s="86"/>
      <c r="AF2" s="86"/>
      <c r="AG2" s="86"/>
      <c r="AH2" s="86"/>
      <c r="AI2" s="86"/>
    </row>
    <row r="3" spans="2:35" ht="45.75" thickBot="1" x14ac:dyDescent="0.25">
      <c r="B3" s="149"/>
      <c r="C3" s="101" t="s">
        <v>27</v>
      </c>
      <c r="D3" s="108" t="s">
        <v>84</v>
      </c>
      <c r="E3" s="110" t="s">
        <v>85</v>
      </c>
      <c r="F3" s="150" t="s">
        <v>64</v>
      </c>
      <c r="G3" s="79"/>
      <c r="H3" s="109" t="s">
        <v>86</v>
      </c>
      <c r="I3" s="110" t="s">
        <v>87</v>
      </c>
      <c r="J3" s="150" t="s">
        <v>65</v>
      </c>
      <c r="K3" s="79"/>
      <c r="L3" s="109" t="s">
        <v>88</v>
      </c>
      <c r="M3" s="110" t="s">
        <v>89</v>
      </c>
      <c r="N3" s="150" t="s">
        <v>64</v>
      </c>
      <c r="O3" s="79"/>
      <c r="P3" s="133" t="s">
        <v>61</v>
      </c>
      <c r="Q3" s="83"/>
      <c r="R3" s="139" t="s">
        <v>53</v>
      </c>
      <c r="S3" s="110" t="s">
        <v>90</v>
      </c>
      <c r="T3" s="144" t="s">
        <v>63</v>
      </c>
      <c r="U3" s="53"/>
      <c r="V3" s="139" t="s">
        <v>73</v>
      </c>
      <c r="W3" s="119" t="s">
        <v>91</v>
      </c>
      <c r="X3" s="145" t="s">
        <v>68</v>
      </c>
      <c r="Z3" s="146" t="s">
        <v>54</v>
      </c>
      <c r="AA3" s="147" t="s">
        <v>51</v>
      </c>
      <c r="AB3" s="148" t="s">
        <v>51</v>
      </c>
      <c r="AC3" s="124"/>
      <c r="AD3" s="146" t="s">
        <v>55</v>
      </c>
      <c r="AE3" s="147" t="s">
        <v>52</v>
      </c>
      <c r="AF3" s="148" t="s">
        <v>52</v>
      </c>
      <c r="AG3" s="83"/>
      <c r="AH3" s="154"/>
      <c r="AI3" s="155"/>
    </row>
    <row r="4" spans="2:35" x14ac:dyDescent="0.2">
      <c r="B4" s="149">
        <v>1</v>
      </c>
      <c r="C4" s="87" t="s">
        <v>0</v>
      </c>
      <c r="D4" s="134">
        <v>230</v>
      </c>
      <c r="E4" s="61">
        <v>185</v>
      </c>
      <c r="F4" s="111">
        <f t="shared" ref="F4:F28" si="0">E4-D4</f>
        <v>-45</v>
      </c>
      <c r="G4" s="77"/>
      <c r="H4" s="52">
        <v>98</v>
      </c>
      <c r="I4" s="54">
        <v>92</v>
      </c>
      <c r="J4" s="70">
        <f t="shared" ref="J4:J28" si="1">I4-H4</f>
        <v>-6</v>
      </c>
      <c r="K4" s="80"/>
      <c r="L4" s="52">
        <v>48</v>
      </c>
      <c r="M4" s="54">
        <v>69</v>
      </c>
      <c r="N4" s="70">
        <f t="shared" ref="N4:N28" si="2">M4-L4</f>
        <v>21</v>
      </c>
      <c r="O4" s="80"/>
      <c r="P4" s="64">
        <f>F4+J4+N4</f>
        <v>-30</v>
      </c>
      <c r="Q4" s="84"/>
      <c r="R4" s="140">
        <v>1112</v>
      </c>
      <c r="S4" s="54">
        <v>1091</v>
      </c>
      <c r="T4" s="66">
        <f>SUM(S4-R4)</f>
        <v>-21</v>
      </c>
      <c r="U4" s="55"/>
      <c r="V4" s="140">
        <v>1085</v>
      </c>
      <c r="W4" s="116">
        <v>1039</v>
      </c>
      <c r="X4" s="116">
        <f>SUM(W4-V4)</f>
        <v>-46</v>
      </c>
      <c r="Z4" s="64">
        <f>RANK(P4,$P$4:$P$28,1)+COUNTIF($P$4:P4,P4)-1</f>
        <v>8</v>
      </c>
      <c r="AA4" s="67" t="str">
        <f>INDEX(C4:P28,MATCH(1,Z4:Z28,0),1)</f>
        <v>leżajski</v>
      </c>
      <c r="AB4" s="54">
        <f>INDEX(C4:P28,MATCH(1,Z4:Z28,0),14)</f>
        <v>-101</v>
      </c>
      <c r="AC4" s="125"/>
      <c r="AD4" s="64">
        <f>RANK(T4,$T$4:$T$28,1)+COUNTIF($T$4:T4,T4)-1</f>
        <v>10</v>
      </c>
      <c r="AE4" s="67" t="str">
        <f>INDEX(C4:T28,MATCH(1,AD4:AD28,0),1)</f>
        <v>brzozowski</v>
      </c>
      <c r="AF4" s="54">
        <f>INDEX(C4:T28,MATCH(1,AD4:AD28,0),18)</f>
        <v>-229</v>
      </c>
      <c r="AG4" s="85"/>
      <c r="AH4" s="129">
        <v>1</v>
      </c>
      <c r="AI4" s="131">
        <f>SUM(Z4)-AD4</f>
        <v>-2</v>
      </c>
    </row>
    <row r="5" spans="2:35" x14ac:dyDescent="0.2">
      <c r="B5" s="149">
        <v>2</v>
      </c>
      <c r="C5" s="88" t="s">
        <v>1</v>
      </c>
      <c r="D5" s="135">
        <v>674</v>
      </c>
      <c r="E5" s="62">
        <v>661</v>
      </c>
      <c r="F5" s="112">
        <f t="shared" si="0"/>
        <v>-13</v>
      </c>
      <c r="G5" s="77"/>
      <c r="H5" s="57">
        <v>158</v>
      </c>
      <c r="I5" s="56">
        <v>208</v>
      </c>
      <c r="J5" s="71">
        <f t="shared" si="1"/>
        <v>50</v>
      </c>
      <c r="K5" s="80"/>
      <c r="L5" s="57">
        <v>95</v>
      </c>
      <c r="M5" s="56">
        <v>100</v>
      </c>
      <c r="N5" s="71">
        <f t="shared" si="2"/>
        <v>5</v>
      </c>
      <c r="O5" s="80"/>
      <c r="P5" s="137">
        <f>F5+J5+N5</f>
        <v>42</v>
      </c>
      <c r="Q5" s="84"/>
      <c r="R5" s="141">
        <v>4038</v>
      </c>
      <c r="S5" s="56">
        <v>3809</v>
      </c>
      <c r="T5" s="75">
        <f t="shared" ref="T5:T28" si="3">SUM(S5-R5)</f>
        <v>-229</v>
      </c>
      <c r="U5" s="55"/>
      <c r="V5" s="141">
        <v>3848</v>
      </c>
      <c r="W5" s="117">
        <v>3585</v>
      </c>
      <c r="X5" s="117">
        <f t="shared" ref="X5:X28" si="4">SUM(W5-V5)</f>
        <v>-263</v>
      </c>
      <c r="Z5" s="65">
        <f>RANK(P5,$P$4:$P$28,1)+COUNTIF($P$4:P5,P5)-1</f>
        <v>18</v>
      </c>
      <c r="AA5" s="68" t="str">
        <f>INDEX(C4:P28,MATCH(2,Z4:Z28,0),1)</f>
        <v>ropczycko-sędziszowski</v>
      </c>
      <c r="AB5" s="56">
        <f>INDEX(C4:P28,MATCH(2,Z4:Z28,0),14)</f>
        <v>-101</v>
      </c>
      <c r="AC5" s="125"/>
      <c r="AD5" s="65">
        <f>RANK(T5,$T$4:$T$28,1)+COUNTIF($T$4:T5,T5)-1</f>
        <v>1</v>
      </c>
      <c r="AE5" s="68" t="str">
        <f>INDEX(C4:T28,MATCH(2,AD4:AD28,0),1)</f>
        <v>przeworski</v>
      </c>
      <c r="AF5" s="56">
        <f>INDEX(C4:T28,MATCH(2,AD4:AD28,0),18)</f>
        <v>-162</v>
      </c>
      <c r="AG5" s="85"/>
      <c r="AH5" s="129">
        <v>2</v>
      </c>
      <c r="AI5" s="131">
        <f t="shared" ref="AI5:AI28" si="5">SUM(Z5)-AD5</f>
        <v>17</v>
      </c>
    </row>
    <row r="6" spans="2:35" x14ac:dyDescent="0.2">
      <c r="B6" s="149">
        <v>3</v>
      </c>
      <c r="C6" s="88" t="s">
        <v>2</v>
      </c>
      <c r="D6" s="135">
        <v>681</v>
      </c>
      <c r="E6" s="62">
        <v>704</v>
      </c>
      <c r="F6" s="112">
        <f t="shared" si="0"/>
        <v>23</v>
      </c>
      <c r="G6" s="77"/>
      <c r="H6" s="57">
        <v>140</v>
      </c>
      <c r="I6" s="56">
        <v>117</v>
      </c>
      <c r="J6" s="71">
        <f t="shared" si="1"/>
        <v>-23</v>
      </c>
      <c r="K6" s="80"/>
      <c r="L6" s="57">
        <v>78</v>
      </c>
      <c r="M6" s="56">
        <v>69</v>
      </c>
      <c r="N6" s="71">
        <f t="shared" si="2"/>
        <v>-9</v>
      </c>
      <c r="O6" s="80"/>
      <c r="P6" s="65">
        <f>F6+J6+N6</f>
        <v>-9</v>
      </c>
      <c r="Q6" s="84"/>
      <c r="R6" s="141">
        <v>2435</v>
      </c>
      <c r="S6" s="56">
        <v>2452</v>
      </c>
      <c r="T6" s="56">
        <f t="shared" si="3"/>
        <v>17</v>
      </c>
      <c r="U6" s="50"/>
      <c r="V6" s="141">
        <v>2433</v>
      </c>
      <c r="W6" s="117">
        <v>2394</v>
      </c>
      <c r="X6" s="71">
        <f t="shared" si="4"/>
        <v>-39</v>
      </c>
      <c r="Z6" s="65">
        <f>RANK(P6,$P$4:$P$28,1)+COUNTIF($P$4:P6,P6)-1</f>
        <v>10</v>
      </c>
      <c r="AA6" s="68" t="str">
        <f>INDEX(C4:P28,MATCH(3,Z4:Z28,0),1)</f>
        <v>jarosławski</v>
      </c>
      <c r="AB6" s="56">
        <f>INDEX(C4:P28,MATCH(3,Z4:Z28,0),14)</f>
        <v>-92</v>
      </c>
      <c r="AC6" s="125"/>
      <c r="AD6" s="65">
        <f>RANK(T6,$T$4:$T$28,1)+COUNTIF($T$4:T6,T6)-1</f>
        <v>17</v>
      </c>
      <c r="AE6" s="68" t="str">
        <f>INDEX(C4:T28,MATCH(3,AD4:AD28,0),1)</f>
        <v>przemyski</v>
      </c>
      <c r="AF6" s="56">
        <f>INDEX(C4:T28,MATCH(3,AD4:AD28,0),18)</f>
        <v>-137</v>
      </c>
      <c r="AG6" s="85"/>
      <c r="AH6" s="129">
        <v>3</v>
      </c>
      <c r="AI6" s="131">
        <f t="shared" si="5"/>
        <v>-7</v>
      </c>
    </row>
    <row r="7" spans="2:35" x14ac:dyDescent="0.2">
      <c r="B7" s="149">
        <v>4</v>
      </c>
      <c r="C7" s="88" t="s">
        <v>3</v>
      </c>
      <c r="D7" s="135">
        <v>1011</v>
      </c>
      <c r="E7" s="62">
        <v>848</v>
      </c>
      <c r="F7" s="112">
        <f t="shared" si="0"/>
        <v>-163</v>
      </c>
      <c r="G7" s="77"/>
      <c r="H7" s="57">
        <v>307</v>
      </c>
      <c r="I7" s="56">
        <v>329</v>
      </c>
      <c r="J7" s="71">
        <f t="shared" si="1"/>
        <v>22</v>
      </c>
      <c r="K7" s="80"/>
      <c r="L7" s="57">
        <v>127</v>
      </c>
      <c r="M7" s="56">
        <v>176</v>
      </c>
      <c r="N7" s="71">
        <f t="shared" si="2"/>
        <v>49</v>
      </c>
      <c r="O7" s="80"/>
      <c r="P7" s="137">
        <f t="shared" ref="P7:P28" si="6">F7+J7+N7</f>
        <v>-92</v>
      </c>
      <c r="Q7" s="84"/>
      <c r="R7" s="141">
        <v>4674</v>
      </c>
      <c r="S7" s="56">
        <v>4555</v>
      </c>
      <c r="T7" s="56">
        <f t="shared" si="3"/>
        <v>-119</v>
      </c>
      <c r="U7" s="50"/>
      <c r="V7" s="141">
        <v>4299</v>
      </c>
      <c r="W7" s="117">
        <v>4276</v>
      </c>
      <c r="X7" s="71">
        <f t="shared" si="4"/>
        <v>-23</v>
      </c>
      <c r="Z7" s="65">
        <f>RANK(P7,$P$4:$P$28,1)+COUNTIF($P$4:P7,P7)-1</f>
        <v>3</v>
      </c>
      <c r="AA7" s="68" t="str">
        <f>INDEX(C4:P28,MATCH(4,Z4:Z28,0),1)</f>
        <v>strzyżowski</v>
      </c>
      <c r="AB7" s="56">
        <f>INDEX(C4:P28,MATCH(4,Z4:Z28,0),14)</f>
        <v>-85</v>
      </c>
      <c r="AC7" s="125"/>
      <c r="AD7" s="65">
        <f>RANK(T7,$T$4:$T$28,1)+COUNTIF($T$4:T7,T7)-1</f>
        <v>5</v>
      </c>
      <c r="AE7" s="68" t="str">
        <f>INDEX(C4:T28,MATCH(4,AD4:AD28,0),1)</f>
        <v>rzeszowski</v>
      </c>
      <c r="AF7" s="56">
        <f>INDEX(C4:T28,MATCH(4,AD4:AD28,0),18)</f>
        <v>-120</v>
      </c>
      <c r="AG7" s="85"/>
      <c r="AH7" s="129">
        <v>4</v>
      </c>
      <c r="AI7" s="131">
        <f t="shared" si="5"/>
        <v>-2</v>
      </c>
    </row>
    <row r="8" spans="2:35" x14ac:dyDescent="0.2">
      <c r="B8" s="149">
        <v>5</v>
      </c>
      <c r="C8" s="88" t="s">
        <v>4</v>
      </c>
      <c r="D8" s="135">
        <v>853</v>
      </c>
      <c r="E8" s="62">
        <v>875</v>
      </c>
      <c r="F8" s="112">
        <f t="shared" si="0"/>
        <v>22</v>
      </c>
      <c r="G8" s="77"/>
      <c r="H8" s="57">
        <v>241</v>
      </c>
      <c r="I8" s="56">
        <v>221</v>
      </c>
      <c r="J8" s="71">
        <f t="shared" si="1"/>
        <v>-20</v>
      </c>
      <c r="K8" s="80"/>
      <c r="L8" s="57">
        <v>146</v>
      </c>
      <c r="M8" s="56">
        <v>157</v>
      </c>
      <c r="N8" s="71">
        <f t="shared" si="2"/>
        <v>11</v>
      </c>
      <c r="O8" s="80"/>
      <c r="P8" s="137">
        <f t="shared" si="6"/>
        <v>13</v>
      </c>
      <c r="Q8" s="84"/>
      <c r="R8" s="141">
        <v>4926</v>
      </c>
      <c r="S8" s="56">
        <v>4936</v>
      </c>
      <c r="T8" s="56">
        <f t="shared" si="3"/>
        <v>10</v>
      </c>
      <c r="U8" s="50"/>
      <c r="V8" s="141">
        <v>5107</v>
      </c>
      <c r="W8" s="117">
        <v>4902</v>
      </c>
      <c r="X8" s="71">
        <f t="shared" si="4"/>
        <v>-205</v>
      </c>
      <c r="Z8" s="65">
        <f>RANK(P8,$P$4:$P$28,1)+COUNTIF($P$4:P8,P8)-1</f>
        <v>11</v>
      </c>
      <c r="AA8" s="68" t="str">
        <f>INDEX(C4:P28,MATCH(5,Z4:Z28,0),1)</f>
        <v>kolbuszowski</v>
      </c>
      <c r="AB8" s="56">
        <f>INDEX(C4:P28,MATCH(5,Z4:Z28,0),14)</f>
        <v>-49</v>
      </c>
      <c r="AC8" s="125"/>
      <c r="AD8" s="65">
        <f>RANK(T8,$T$4:$T$28,1)+COUNTIF($T$4:T8,T8)-1</f>
        <v>16</v>
      </c>
      <c r="AE8" s="68" t="str">
        <f>INDEX(C4:T28,MATCH(5,AD4:AD28,0),1)</f>
        <v>jarosławski</v>
      </c>
      <c r="AF8" s="56">
        <f>INDEX(C4:T28,MATCH(5,AD4:AD28,0),18)</f>
        <v>-119</v>
      </c>
      <c r="AG8" s="85"/>
      <c r="AH8" s="129">
        <v>5</v>
      </c>
      <c r="AI8" s="130">
        <f t="shared" si="5"/>
        <v>-5</v>
      </c>
    </row>
    <row r="9" spans="2:35" x14ac:dyDescent="0.2">
      <c r="B9" s="149">
        <v>6</v>
      </c>
      <c r="C9" s="88" t="s">
        <v>5</v>
      </c>
      <c r="D9" s="135">
        <v>399</v>
      </c>
      <c r="E9" s="62">
        <v>375</v>
      </c>
      <c r="F9" s="112">
        <f t="shared" si="0"/>
        <v>-24</v>
      </c>
      <c r="G9" s="77"/>
      <c r="H9" s="57">
        <v>78</v>
      </c>
      <c r="I9" s="56">
        <v>60</v>
      </c>
      <c r="J9" s="71">
        <f t="shared" si="1"/>
        <v>-18</v>
      </c>
      <c r="K9" s="80"/>
      <c r="L9" s="57">
        <v>59</v>
      </c>
      <c r="M9" s="56">
        <v>52</v>
      </c>
      <c r="N9" s="71">
        <f t="shared" si="2"/>
        <v>-7</v>
      </c>
      <c r="O9" s="80"/>
      <c r="P9" s="137">
        <f t="shared" si="6"/>
        <v>-49</v>
      </c>
      <c r="Q9" s="84"/>
      <c r="R9" s="141">
        <v>1577</v>
      </c>
      <c r="S9" s="56">
        <v>1617</v>
      </c>
      <c r="T9" s="56">
        <f t="shared" si="3"/>
        <v>40</v>
      </c>
      <c r="U9" s="50"/>
      <c r="V9" s="141">
        <v>1494</v>
      </c>
      <c r="W9" s="117">
        <v>1525</v>
      </c>
      <c r="X9" s="71">
        <f t="shared" si="4"/>
        <v>31</v>
      </c>
      <c r="Z9" s="65">
        <f>RANK(P9,$P$4:$P$28,1)+COUNTIF($P$4:P9,P9)-1</f>
        <v>5</v>
      </c>
      <c r="AA9" s="68" t="str">
        <f>INDEX(C4:P28,MATCH(6,Z4:Z28,0),1)</f>
        <v>tarnobrzeski</v>
      </c>
      <c r="AB9" s="56">
        <f>INDEX(C4:P28,MATCH(6,Z4:Z28,0),14)</f>
        <v>-43</v>
      </c>
      <c r="AC9" s="125"/>
      <c r="AD9" s="65">
        <f>RANK(T9,$T$4:$T$28,1)+COUNTIF($T$4:T9,T9)-1</f>
        <v>20</v>
      </c>
      <c r="AE9" s="68" t="str">
        <f>INDEX(C4:T28,MATCH(6,AD4:AD28,0),1)</f>
        <v>ropczycko-sędziszowski</v>
      </c>
      <c r="AF9" s="56">
        <f>INDEX(C4:T28,MATCH(6,AD4:AD28,0),18)</f>
        <v>-117</v>
      </c>
      <c r="AG9" s="85"/>
      <c r="AH9" s="129">
        <v>6</v>
      </c>
      <c r="AI9" s="130">
        <f t="shared" si="5"/>
        <v>-15</v>
      </c>
    </row>
    <row r="10" spans="2:35" x14ac:dyDescent="0.2">
      <c r="B10" s="149">
        <v>7</v>
      </c>
      <c r="C10" s="88" t="s">
        <v>6</v>
      </c>
      <c r="D10" s="135">
        <v>484</v>
      </c>
      <c r="E10" s="62">
        <v>570</v>
      </c>
      <c r="F10" s="112">
        <f t="shared" si="0"/>
        <v>86</v>
      </c>
      <c r="G10" s="77"/>
      <c r="H10" s="57">
        <v>89</v>
      </c>
      <c r="I10" s="56">
        <v>96</v>
      </c>
      <c r="J10" s="71">
        <f t="shared" si="1"/>
        <v>7</v>
      </c>
      <c r="K10" s="80"/>
      <c r="L10" s="57">
        <v>60</v>
      </c>
      <c r="M10" s="56">
        <v>58</v>
      </c>
      <c r="N10" s="71">
        <f t="shared" si="2"/>
        <v>-2</v>
      </c>
      <c r="O10" s="80"/>
      <c r="P10" s="137">
        <f>F10+J10+N10</f>
        <v>91</v>
      </c>
      <c r="Q10" s="84"/>
      <c r="R10" s="141">
        <v>2018</v>
      </c>
      <c r="S10" s="56">
        <v>2194</v>
      </c>
      <c r="T10" s="75">
        <f t="shared" si="3"/>
        <v>176</v>
      </c>
      <c r="U10" s="50"/>
      <c r="V10" s="141">
        <v>2221</v>
      </c>
      <c r="W10" s="117">
        <v>2316</v>
      </c>
      <c r="X10" s="71">
        <f t="shared" si="4"/>
        <v>95</v>
      </c>
      <c r="Z10" s="65">
        <f>RANK(P10,$P$4:$P$28,1)+COUNTIF($P$4:P10,P10)-1</f>
        <v>21</v>
      </c>
      <c r="AA10" s="68" t="str">
        <f>INDEX(C4:P28,MATCH(7,Z4:Z28,0),1)</f>
        <v>łańcucki</v>
      </c>
      <c r="AB10" s="56">
        <f>INDEX(C4:P28,MATCH(7,Z4:Z28,0),14)</f>
        <v>-38</v>
      </c>
      <c r="AC10" s="125"/>
      <c r="AD10" s="65">
        <f>RANK(T10,$T$4:$T$28,1)+COUNTIF($T$4:T10,T10)-1</f>
        <v>24</v>
      </c>
      <c r="AE10" s="68" t="str">
        <f>INDEX(C4:T28,MATCH(7,AD4:AD28,0),1)</f>
        <v>strzyżowski</v>
      </c>
      <c r="AF10" s="56">
        <f>INDEX(C4:T28,MATCH(7,AD4:AD28,0),18)</f>
        <v>-71</v>
      </c>
      <c r="AG10" s="85"/>
      <c r="AH10" s="129">
        <v>7</v>
      </c>
      <c r="AI10" s="130">
        <f t="shared" si="5"/>
        <v>-3</v>
      </c>
    </row>
    <row r="11" spans="2:35" x14ac:dyDescent="0.2">
      <c r="B11" s="149">
        <v>8</v>
      </c>
      <c r="C11" s="88" t="s">
        <v>7</v>
      </c>
      <c r="D11" s="135">
        <v>296</v>
      </c>
      <c r="E11" s="62">
        <v>314</v>
      </c>
      <c r="F11" s="112">
        <f t="shared" si="0"/>
        <v>18</v>
      </c>
      <c r="G11" s="77"/>
      <c r="H11" s="57">
        <v>77</v>
      </c>
      <c r="I11" s="56">
        <v>65</v>
      </c>
      <c r="J11" s="71">
        <f t="shared" si="1"/>
        <v>-12</v>
      </c>
      <c r="K11" s="80"/>
      <c r="L11" s="57">
        <v>21</v>
      </c>
      <c r="M11" s="56">
        <v>34</v>
      </c>
      <c r="N11" s="71">
        <f t="shared" si="2"/>
        <v>13</v>
      </c>
      <c r="O11" s="80"/>
      <c r="P11" s="137">
        <f t="shared" si="6"/>
        <v>19</v>
      </c>
      <c r="Q11" s="84"/>
      <c r="R11" s="141">
        <v>1747</v>
      </c>
      <c r="S11" s="56">
        <v>1756</v>
      </c>
      <c r="T11" s="56">
        <f t="shared" si="3"/>
        <v>9</v>
      </c>
      <c r="U11" s="50"/>
      <c r="V11" s="141">
        <v>1716</v>
      </c>
      <c r="W11" s="117">
        <v>862</v>
      </c>
      <c r="X11" s="71">
        <f t="shared" si="4"/>
        <v>-854</v>
      </c>
      <c r="Z11" s="65">
        <f>RANK(P11,$P$4:$P$28,1)+COUNTIF($P$4:P11,P11)-1</f>
        <v>15</v>
      </c>
      <c r="AA11" s="68" t="str">
        <f>INDEX(C4:P28,MATCH(8,Z4:Z28,0),1)</f>
        <v>bieszczadzki</v>
      </c>
      <c r="AB11" s="56">
        <f>INDEX(C4:P28,MATCH(8,Z4:Z28,0),14)</f>
        <v>-30</v>
      </c>
      <c r="AC11" s="125"/>
      <c r="AD11" s="65">
        <f>RANK(T11,$T$4:$T$28,1)+COUNTIF($T$4:T11,T11)-1</f>
        <v>15</v>
      </c>
      <c r="AE11" s="68" t="str">
        <f>INDEX(C4:T28,MATCH(8,AD4:AD28,0),1)</f>
        <v>lubaczowski</v>
      </c>
      <c r="AF11" s="56">
        <f>INDEX(C4:T28,MATCH(8,AD4:AD28,0),18)</f>
        <v>-60</v>
      </c>
      <c r="AG11" s="85"/>
      <c r="AH11" s="129">
        <v>8</v>
      </c>
      <c r="AI11" s="130">
        <f t="shared" si="5"/>
        <v>0</v>
      </c>
    </row>
    <row r="12" spans="2:35" x14ac:dyDescent="0.2">
      <c r="B12" s="149">
        <v>9</v>
      </c>
      <c r="C12" s="88" t="s">
        <v>8</v>
      </c>
      <c r="D12" s="135">
        <v>603</v>
      </c>
      <c r="E12" s="62">
        <v>451</v>
      </c>
      <c r="F12" s="112">
        <f t="shared" si="0"/>
        <v>-152</v>
      </c>
      <c r="G12" s="77"/>
      <c r="H12" s="57">
        <v>197</v>
      </c>
      <c r="I12" s="56">
        <v>175</v>
      </c>
      <c r="J12" s="71">
        <f t="shared" si="1"/>
        <v>-22</v>
      </c>
      <c r="K12" s="80"/>
      <c r="L12" s="57">
        <v>167</v>
      </c>
      <c r="M12" s="56">
        <v>240</v>
      </c>
      <c r="N12" s="71">
        <f t="shared" si="2"/>
        <v>73</v>
      </c>
      <c r="O12" s="80"/>
      <c r="P12" s="137">
        <f t="shared" si="6"/>
        <v>-101</v>
      </c>
      <c r="Q12" s="84"/>
      <c r="R12" s="141">
        <v>3198</v>
      </c>
      <c r="S12" s="56">
        <v>3181</v>
      </c>
      <c r="T12" s="56">
        <f t="shared" si="3"/>
        <v>-17</v>
      </c>
      <c r="U12" s="50"/>
      <c r="V12" s="141">
        <v>3105</v>
      </c>
      <c r="W12" s="117">
        <v>1676</v>
      </c>
      <c r="X12" s="71">
        <f t="shared" si="4"/>
        <v>-1429</v>
      </c>
      <c r="Z12" s="65">
        <f>RANK(P12,$P$4:$P$28,1)+COUNTIF($P$4:P12,P12)-1</f>
        <v>1</v>
      </c>
      <c r="AA12" s="68" t="str">
        <f>INDEX(C4:P28,MATCH(9,Z4:Z28,0),1)</f>
        <v>Tarnobrzeg</v>
      </c>
      <c r="AB12" s="56">
        <f>INDEX(C4:P28,MATCH(9,Z4:Z28,0),14)</f>
        <v>-26</v>
      </c>
      <c r="AC12" s="125"/>
      <c r="AD12" s="65">
        <f>RANK(T12,$T$4:$T$28,1)+COUNTIF($T$4:T12,T12)-1</f>
        <v>11</v>
      </c>
      <c r="AE12" s="68" t="str">
        <f>INDEX(C4:T28,MATCH(9,AD4:AD28,0),1)</f>
        <v>łańcucki</v>
      </c>
      <c r="AF12" s="56">
        <f>INDEX(C4:T28,MATCH(9,AD4:AD28,0),18)</f>
        <v>-28</v>
      </c>
      <c r="AG12" s="85"/>
      <c r="AH12" s="129">
        <v>9</v>
      </c>
      <c r="AI12" s="130">
        <f t="shared" si="5"/>
        <v>-10</v>
      </c>
    </row>
    <row r="13" spans="2:35" x14ac:dyDescent="0.2">
      <c r="B13" s="149">
        <v>10</v>
      </c>
      <c r="C13" s="88" t="s">
        <v>9</v>
      </c>
      <c r="D13" s="135">
        <v>418</v>
      </c>
      <c r="E13" s="62">
        <v>448</v>
      </c>
      <c r="F13" s="112">
        <f t="shared" si="0"/>
        <v>30</v>
      </c>
      <c r="G13" s="77"/>
      <c r="H13" s="57">
        <v>121</v>
      </c>
      <c r="I13" s="56">
        <v>97</v>
      </c>
      <c r="J13" s="71">
        <f t="shared" si="1"/>
        <v>-24</v>
      </c>
      <c r="K13" s="80"/>
      <c r="L13" s="57">
        <v>85</v>
      </c>
      <c r="M13" s="56">
        <v>104</v>
      </c>
      <c r="N13" s="71">
        <f t="shared" si="2"/>
        <v>19</v>
      </c>
      <c r="O13" s="80"/>
      <c r="P13" s="137">
        <f t="shared" si="6"/>
        <v>25</v>
      </c>
      <c r="Q13" s="84"/>
      <c r="R13" s="141">
        <v>1831</v>
      </c>
      <c r="S13" s="56">
        <v>1771</v>
      </c>
      <c r="T13" s="56">
        <f t="shared" si="3"/>
        <v>-60</v>
      </c>
      <c r="U13" s="50"/>
      <c r="V13" s="141">
        <v>1867</v>
      </c>
      <c r="W13" s="117">
        <v>3042</v>
      </c>
      <c r="X13" s="71">
        <f t="shared" si="4"/>
        <v>1175</v>
      </c>
      <c r="Z13" s="65">
        <f>RANK(P13,$P$4:$P$28,1)+COUNTIF($P$4:P13,P13)-1</f>
        <v>16</v>
      </c>
      <c r="AA13" s="68" t="str">
        <f>INDEX(C4:P28,MATCH(10,Z4:Z28,0),1)</f>
        <v>dębicki</v>
      </c>
      <c r="AB13" s="56">
        <f>INDEX(C4:P28,MATCH(10,Z4:Z28,0),14)</f>
        <v>-9</v>
      </c>
      <c r="AC13" s="125"/>
      <c r="AD13" s="65">
        <f>RANK(T13,$T$4:$T$28,1)+COUNTIF($T$4:T13,T13)-1</f>
        <v>8</v>
      </c>
      <c r="AE13" s="68" t="str">
        <f>INDEX(C4:T28,MATCH(10,AD4:AD28,0),1)</f>
        <v>bieszczadzki</v>
      </c>
      <c r="AF13" s="56">
        <f>INDEX(C4:T28,MATCH(10,AD4:AD28,0),18)</f>
        <v>-21</v>
      </c>
      <c r="AG13" s="85"/>
      <c r="AH13" s="129">
        <v>10</v>
      </c>
      <c r="AI13" s="130">
        <f t="shared" si="5"/>
        <v>8</v>
      </c>
    </row>
    <row r="14" spans="2:35" x14ac:dyDescent="0.2">
      <c r="B14" s="149">
        <v>11</v>
      </c>
      <c r="C14" s="88" t="s">
        <v>10</v>
      </c>
      <c r="D14" s="135">
        <v>672</v>
      </c>
      <c r="E14" s="62">
        <v>619</v>
      </c>
      <c r="F14" s="112">
        <f t="shared" si="0"/>
        <v>-53</v>
      </c>
      <c r="G14" s="77"/>
      <c r="H14" s="57">
        <v>212</v>
      </c>
      <c r="I14" s="56">
        <v>199</v>
      </c>
      <c r="J14" s="71">
        <f t="shared" si="1"/>
        <v>-13</v>
      </c>
      <c r="K14" s="80"/>
      <c r="L14" s="57">
        <v>91</v>
      </c>
      <c r="M14" s="56">
        <v>119</v>
      </c>
      <c r="N14" s="71">
        <f t="shared" si="2"/>
        <v>28</v>
      </c>
      <c r="O14" s="80"/>
      <c r="P14" s="65">
        <f t="shared" si="6"/>
        <v>-38</v>
      </c>
      <c r="Q14" s="84"/>
      <c r="R14" s="141">
        <v>2629</v>
      </c>
      <c r="S14" s="56">
        <v>2601</v>
      </c>
      <c r="T14" s="56">
        <f t="shared" si="3"/>
        <v>-28</v>
      </c>
      <c r="U14" s="50"/>
      <c r="V14" s="141">
        <v>2547</v>
      </c>
      <c r="W14" s="117">
        <v>1656</v>
      </c>
      <c r="X14" s="71">
        <f t="shared" si="4"/>
        <v>-891</v>
      </c>
      <c r="Z14" s="65">
        <f>RANK(P14,$P$4:$P$28,1)+COUNTIF($P$4:P14,P14)-1</f>
        <v>7</v>
      </c>
      <c r="AA14" s="68" t="str">
        <f>INDEX(C4:P28,MATCH(11,Z4:Z28,0),1)</f>
        <v>jasielski</v>
      </c>
      <c r="AB14" s="56">
        <f>INDEX(C4:P28,MATCH(11,Z4:Z28,0),14)</f>
        <v>13</v>
      </c>
      <c r="AC14" s="125"/>
      <c r="AD14" s="65">
        <f>RANK(T14,$T$4:$T$28,1)+COUNTIF($T$4:T14,T14)-1</f>
        <v>9</v>
      </c>
      <c r="AE14" s="68" t="str">
        <f>INDEX(C4:T28,MATCH(11,AD4:AD28,0),1)</f>
        <v>leżajski</v>
      </c>
      <c r="AF14" s="56">
        <f>INDEX(C4:T28,MATCH(11,AD4:AD28,0),18)</f>
        <v>-17</v>
      </c>
      <c r="AG14" s="85"/>
      <c r="AH14" s="129">
        <v>11</v>
      </c>
      <c r="AI14" s="130">
        <f t="shared" si="5"/>
        <v>-2</v>
      </c>
    </row>
    <row r="15" spans="2:35" x14ac:dyDescent="0.2">
      <c r="B15" s="149">
        <v>12</v>
      </c>
      <c r="C15" s="88" t="s">
        <v>11</v>
      </c>
      <c r="D15" s="135">
        <v>909</v>
      </c>
      <c r="E15" s="62">
        <v>938</v>
      </c>
      <c r="F15" s="112">
        <f t="shared" si="0"/>
        <v>29</v>
      </c>
      <c r="G15" s="77"/>
      <c r="H15" s="57">
        <v>171</v>
      </c>
      <c r="I15" s="56">
        <v>184</v>
      </c>
      <c r="J15" s="71">
        <f t="shared" si="1"/>
        <v>13</v>
      </c>
      <c r="K15" s="80"/>
      <c r="L15" s="57">
        <v>73</v>
      </c>
      <c r="M15" s="56">
        <v>164</v>
      </c>
      <c r="N15" s="71">
        <f t="shared" si="2"/>
        <v>91</v>
      </c>
      <c r="O15" s="80"/>
      <c r="P15" s="65">
        <f t="shared" si="6"/>
        <v>133</v>
      </c>
      <c r="Q15" s="84"/>
      <c r="R15" s="141">
        <v>2517</v>
      </c>
      <c r="S15" s="56">
        <v>2740</v>
      </c>
      <c r="T15" s="56">
        <f t="shared" si="3"/>
        <v>223</v>
      </c>
      <c r="U15" s="50"/>
      <c r="V15" s="141">
        <v>3017</v>
      </c>
      <c r="W15" s="117">
        <v>2501</v>
      </c>
      <c r="X15" s="71">
        <f t="shared" si="4"/>
        <v>-516</v>
      </c>
      <c r="Z15" s="65">
        <f>RANK(P15,$P$4:$P$28,1)+COUNTIF($P$4:P15,P15)-1</f>
        <v>23</v>
      </c>
      <c r="AA15" s="68" t="str">
        <f>INDEX(C4:P28,MATCH(12,Z4:Z28,0),1)</f>
        <v>rzeszowski</v>
      </c>
      <c r="AB15" s="56">
        <f>INDEX(C4:P28,MATCH(12,Z4:Z28,0),14)</f>
        <v>13</v>
      </c>
      <c r="AC15" s="125"/>
      <c r="AD15" s="126">
        <f>RANK(T15,$T$4:$T$28,1)+COUNTIF($T$4:T15,T15)-1</f>
        <v>25</v>
      </c>
      <c r="AE15" s="68" t="str">
        <f>INDEX(C4:T28,MATCH(12,AD4:AD28,0),1)</f>
        <v>niżański</v>
      </c>
      <c r="AF15" s="56">
        <f>INDEX(C4:T28,MATCH(12,AD4:AD28,0),18)</f>
        <v>-11</v>
      </c>
      <c r="AG15" s="85"/>
      <c r="AH15" s="129">
        <v>12</v>
      </c>
      <c r="AI15" s="130">
        <f t="shared" si="5"/>
        <v>-2</v>
      </c>
    </row>
    <row r="16" spans="2:35" x14ac:dyDescent="0.2">
      <c r="B16" s="149">
        <v>13</v>
      </c>
      <c r="C16" s="88" t="s">
        <v>12</v>
      </c>
      <c r="D16" s="135">
        <v>452</v>
      </c>
      <c r="E16" s="62">
        <v>476</v>
      </c>
      <c r="F16" s="112">
        <f t="shared" si="0"/>
        <v>24</v>
      </c>
      <c r="G16" s="77"/>
      <c r="H16" s="57">
        <v>175</v>
      </c>
      <c r="I16" s="56">
        <v>199</v>
      </c>
      <c r="J16" s="71">
        <f t="shared" si="1"/>
        <v>24</v>
      </c>
      <c r="K16" s="80"/>
      <c r="L16" s="57">
        <v>121</v>
      </c>
      <c r="M16" s="56">
        <v>91</v>
      </c>
      <c r="N16" s="71">
        <f t="shared" si="2"/>
        <v>-30</v>
      </c>
      <c r="O16" s="80"/>
      <c r="P16" s="65">
        <f t="shared" si="6"/>
        <v>18</v>
      </c>
      <c r="Q16" s="84"/>
      <c r="R16" s="141">
        <v>3116</v>
      </c>
      <c r="S16" s="56">
        <v>3105</v>
      </c>
      <c r="T16" s="56">
        <f t="shared" si="3"/>
        <v>-11</v>
      </c>
      <c r="U16" s="50"/>
      <c r="V16" s="141">
        <v>3043</v>
      </c>
      <c r="W16" s="117">
        <v>2872</v>
      </c>
      <c r="X16" s="71">
        <f t="shared" si="4"/>
        <v>-171</v>
      </c>
      <c r="Z16" s="65">
        <f>RANK(P16,$P$4:$P$28,1)+COUNTIF($P$4:P16,P16)-1</f>
        <v>14</v>
      </c>
      <c r="AA16" s="68" t="str">
        <f>INDEX(C4:P28,MATCH(13,Z4:Z28,0),1)</f>
        <v>Rzeszów</v>
      </c>
      <c r="AB16" s="56">
        <f>INDEX(C4:P28,MATCH(13,Z4:Z28,0),14)</f>
        <v>16</v>
      </c>
      <c r="AC16" s="125"/>
      <c r="AD16" s="126">
        <f>RANK(T16,$T$4:$T$28,1)+COUNTIF($T$4:T16,T16)-1</f>
        <v>12</v>
      </c>
      <c r="AE16" s="68" t="str">
        <f>INDEX(C4:T28,MATCH(13,AD4:AD28,0),1)</f>
        <v>Przemyśl</v>
      </c>
      <c r="AF16" s="56">
        <f>INDEX(C4:T28,MATCH(13,AD4:AD28,0),18)</f>
        <v>5</v>
      </c>
      <c r="AG16" s="85"/>
      <c r="AH16" s="129">
        <v>13</v>
      </c>
      <c r="AI16" s="130">
        <f t="shared" si="5"/>
        <v>2</v>
      </c>
    </row>
    <row r="17" spans="2:35" x14ac:dyDescent="0.2">
      <c r="B17" s="149">
        <v>14</v>
      </c>
      <c r="C17" s="88" t="s">
        <v>13</v>
      </c>
      <c r="D17" s="135">
        <v>436</v>
      </c>
      <c r="E17" s="62">
        <v>537</v>
      </c>
      <c r="F17" s="112">
        <f t="shared" si="0"/>
        <v>101</v>
      </c>
      <c r="G17" s="77"/>
      <c r="H17" s="57">
        <v>156</v>
      </c>
      <c r="I17" s="56">
        <v>217</v>
      </c>
      <c r="J17" s="71">
        <f t="shared" si="1"/>
        <v>61</v>
      </c>
      <c r="K17" s="80"/>
      <c r="L17" s="57">
        <v>32</v>
      </c>
      <c r="M17" s="56">
        <v>49</v>
      </c>
      <c r="N17" s="71">
        <f t="shared" si="2"/>
        <v>17</v>
      </c>
      <c r="O17" s="80"/>
      <c r="P17" s="65">
        <f t="shared" si="6"/>
        <v>179</v>
      </c>
      <c r="Q17" s="84"/>
      <c r="R17" s="141">
        <v>3084</v>
      </c>
      <c r="S17" s="56">
        <v>2947</v>
      </c>
      <c r="T17" s="56">
        <f t="shared" si="3"/>
        <v>-137</v>
      </c>
      <c r="U17" s="50"/>
      <c r="V17" s="141">
        <v>2963</v>
      </c>
      <c r="W17" s="117">
        <v>2937</v>
      </c>
      <c r="X17" s="71">
        <f t="shared" si="4"/>
        <v>-26</v>
      </c>
      <c r="Z17" s="65">
        <f>RANK(P17,$P$4:$P$28,1)+COUNTIF($P$4:P17,P17)-1</f>
        <v>25</v>
      </c>
      <c r="AA17" s="68" t="str">
        <f>INDEX(C4:P28,MATCH(14,Z4:Z28,0),1)</f>
        <v>niżański</v>
      </c>
      <c r="AB17" s="56">
        <f>INDEX(C4:P28,MATCH(14,Z4:Z28,0),14)</f>
        <v>18</v>
      </c>
      <c r="AC17" s="125"/>
      <c r="AD17" s="126">
        <f>RANK(T17,$T$4:$T$28,1)+COUNTIF($T$4:T17,T17)-1</f>
        <v>3</v>
      </c>
      <c r="AE17" s="68" t="str">
        <f>INDEX(C4:T28,MATCH(14,AD4:AD28,0),1)</f>
        <v>tarnobrzeski</v>
      </c>
      <c r="AF17" s="56">
        <f>INDEX(C4:T28,MATCH(14,AD4:AD28,0),18)</f>
        <v>7</v>
      </c>
      <c r="AG17" s="85"/>
      <c r="AH17" s="129">
        <v>14</v>
      </c>
      <c r="AI17" s="130">
        <f t="shared" si="5"/>
        <v>22</v>
      </c>
    </row>
    <row r="18" spans="2:35" x14ac:dyDescent="0.2">
      <c r="B18" s="149">
        <v>15</v>
      </c>
      <c r="C18" s="88" t="s">
        <v>14</v>
      </c>
      <c r="D18" s="135">
        <v>770</v>
      </c>
      <c r="E18" s="62">
        <v>729</v>
      </c>
      <c r="F18" s="112">
        <f t="shared" si="0"/>
        <v>-41</v>
      </c>
      <c r="G18" s="77"/>
      <c r="H18" s="57">
        <v>242</v>
      </c>
      <c r="I18" s="56">
        <v>331</v>
      </c>
      <c r="J18" s="71">
        <f t="shared" si="1"/>
        <v>89</v>
      </c>
      <c r="K18" s="80"/>
      <c r="L18" s="57">
        <v>130</v>
      </c>
      <c r="M18" s="56">
        <v>227</v>
      </c>
      <c r="N18" s="71">
        <f t="shared" si="2"/>
        <v>97</v>
      </c>
      <c r="O18" s="80"/>
      <c r="P18" s="137">
        <f>F18+J18+N18</f>
        <v>145</v>
      </c>
      <c r="Q18" s="84"/>
      <c r="R18" s="141">
        <v>3654</v>
      </c>
      <c r="S18" s="56">
        <v>3492</v>
      </c>
      <c r="T18" s="56">
        <f t="shared" si="3"/>
        <v>-162</v>
      </c>
      <c r="U18" s="50"/>
      <c r="V18" s="141">
        <v>3397</v>
      </c>
      <c r="W18" s="117">
        <v>2792</v>
      </c>
      <c r="X18" s="71">
        <f t="shared" si="4"/>
        <v>-605</v>
      </c>
      <c r="Z18" s="65">
        <f>RANK(P18,$P$4:$P$28,1)+COUNTIF($P$4:P18,P18)-1</f>
        <v>24</v>
      </c>
      <c r="AA18" s="68" t="str">
        <f>INDEX(C4:P28,MATCH(15,Z4:Z28,0),1)</f>
        <v>leski</v>
      </c>
      <c r="AB18" s="56">
        <f>INDEX(C4:P28,MATCH(15,Z4:Z28,0),14)</f>
        <v>19</v>
      </c>
      <c r="AC18" s="125"/>
      <c r="AD18" s="126">
        <f>RANK(T18,$T$4:$T$28,1)+COUNTIF($T$4:T18,T18)-1</f>
        <v>2</v>
      </c>
      <c r="AE18" s="68" t="str">
        <f>INDEX(C4:T28,MATCH(15,AD4:AD28,0),1)</f>
        <v>leski</v>
      </c>
      <c r="AF18" s="56">
        <f>INDEX(C4:T28,MATCH(15,AD4:AD28,0),18)</f>
        <v>9</v>
      </c>
      <c r="AG18" s="85"/>
      <c r="AH18" s="129">
        <v>15</v>
      </c>
      <c r="AI18" s="130">
        <f t="shared" si="5"/>
        <v>22</v>
      </c>
    </row>
    <row r="19" spans="2:35" ht="23.25" customHeight="1" x14ac:dyDescent="0.2">
      <c r="B19" s="149">
        <v>16</v>
      </c>
      <c r="C19" s="88" t="s">
        <v>15</v>
      </c>
      <c r="D19" s="135">
        <v>659</v>
      </c>
      <c r="E19" s="62">
        <v>600</v>
      </c>
      <c r="F19" s="112">
        <f t="shared" si="0"/>
        <v>-59</v>
      </c>
      <c r="G19" s="77"/>
      <c r="H19" s="57">
        <v>149</v>
      </c>
      <c r="I19" s="56">
        <v>109</v>
      </c>
      <c r="J19" s="71">
        <f t="shared" si="1"/>
        <v>-40</v>
      </c>
      <c r="K19" s="80"/>
      <c r="L19" s="57">
        <v>85</v>
      </c>
      <c r="M19" s="56">
        <v>83</v>
      </c>
      <c r="N19" s="71">
        <f t="shared" si="2"/>
        <v>-2</v>
      </c>
      <c r="O19" s="80"/>
      <c r="P19" s="137">
        <f t="shared" si="6"/>
        <v>-101</v>
      </c>
      <c r="Q19" s="84"/>
      <c r="R19" s="141">
        <v>2769</v>
      </c>
      <c r="S19" s="56">
        <v>2652</v>
      </c>
      <c r="T19" s="56">
        <f t="shared" si="3"/>
        <v>-117</v>
      </c>
      <c r="U19" s="50"/>
      <c r="V19" s="141">
        <v>2551</v>
      </c>
      <c r="W19" s="117">
        <v>2314</v>
      </c>
      <c r="X19" s="71">
        <f t="shared" si="4"/>
        <v>-237</v>
      </c>
      <c r="Z19" s="65">
        <f>RANK(P19,$P$4:$P$28,1)+COUNTIF($P$4:P19,P19)-1</f>
        <v>2</v>
      </c>
      <c r="AA19" s="68" t="str">
        <f>INDEX(C4:P28,MATCH(16,Z4:Z28,0),1)</f>
        <v>lubaczowski</v>
      </c>
      <c r="AB19" s="56">
        <f>INDEX(C4:P28,MATCH(16,Z4:Z28,0),14)</f>
        <v>25</v>
      </c>
      <c r="AC19" s="125"/>
      <c r="AD19" s="126">
        <f>RANK(T19,$T$4:$T$28,1)+COUNTIF($T$4:T19,T19)-1</f>
        <v>6</v>
      </c>
      <c r="AE19" s="68" t="str">
        <f>INDEX(C4:T28,MATCH(16,AD4:AD28,0),1)</f>
        <v>jasielski</v>
      </c>
      <c r="AF19" s="56">
        <f>INDEX(C4:T28,MATCH(16,AD4:AD28,0),18)</f>
        <v>10</v>
      </c>
      <c r="AG19" s="85"/>
      <c r="AH19" s="129">
        <v>16</v>
      </c>
      <c r="AI19" s="130">
        <f t="shared" si="5"/>
        <v>-4</v>
      </c>
    </row>
    <row r="20" spans="2:35" x14ac:dyDescent="0.2">
      <c r="B20" s="149">
        <v>17</v>
      </c>
      <c r="C20" s="88" t="s">
        <v>16</v>
      </c>
      <c r="D20" s="135">
        <v>1066</v>
      </c>
      <c r="E20" s="62">
        <v>1064</v>
      </c>
      <c r="F20" s="112">
        <f t="shared" si="0"/>
        <v>-2</v>
      </c>
      <c r="G20" s="77"/>
      <c r="H20" s="57">
        <v>131</v>
      </c>
      <c r="I20" s="56">
        <v>140</v>
      </c>
      <c r="J20" s="71">
        <f t="shared" si="1"/>
        <v>9</v>
      </c>
      <c r="K20" s="80"/>
      <c r="L20" s="57">
        <v>79</v>
      </c>
      <c r="M20" s="56">
        <v>85</v>
      </c>
      <c r="N20" s="71">
        <f t="shared" si="2"/>
        <v>6</v>
      </c>
      <c r="O20" s="80"/>
      <c r="P20" s="65">
        <f t="shared" si="6"/>
        <v>13</v>
      </c>
      <c r="Q20" s="84"/>
      <c r="R20" s="141">
        <v>4962</v>
      </c>
      <c r="S20" s="56">
        <v>4842</v>
      </c>
      <c r="T20" s="56">
        <f t="shared" si="3"/>
        <v>-120</v>
      </c>
      <c r="U20" s="50"/>
      <c r="V20" s="141">
        <v>4670</v>
      </c>
      <c r="W20" s="117">
        <v>3160</v>
      </c>
      <c r="X20" s="71">
        <f t="shared" si="4"/>
        <v>-1510</v>
      </c>
      <c r="Z20" s="65">
        <f>RANK(P20,$P$4:$P$28,1)+COUNTIF($P$4:P20,P20)-1</f>
        <v>12</v>
      </c>
      <c r="AA20" s="68" t="str">
        <f>INDEX(C4:P28,MATCH(17,Z4:Z28,0),1)</f>
        <v>sanocki</v>
      </c>
      <c r="AB20" s="56">
        <f>INDEX(C4:P28,MATCH(17,Z4:Z28,0),14)</f>
        <v>40</v>
      </c>
      <c r="AC20" s="125"/>
      <c r="AD20" s="126">
        <f>RANK(T20,$T$4:$T$28,1)+COUNTIF($T$4:T20,T20)-1</f>
        <v>4</v>
      </c>
      <c r="AE20" s="68" t="str">
        <f>INDEX(C4:T28,MATCH(17,AD4:AD28,0),1)</f>
        <v>dębicki</v>
      </c>
      <c r="AF20" s="56">
        <f>INDEX(C4:T28,MATCH(17,AD4:AD28,0),18)</f>
        <v>17</v>
      </c>
      <c r="AG20" s="85"/>
      <c r="AH20" s="129">
        <v>17</v>
      </c>
      <c r="AI20" s="130">
        <f t="shared" si="5"/>
        <v>8</v>
      </c>
    </row>
    <row r="21" spans="2:35" x14ac:dyDescent="0.2">
      <c r="B21" s="149">
        <v>18</v>
      </c>
      <c r="C21" s="88" t="s">
        <v>17</v>
      </c>
      <c r="D21" s="135">
        <v>576</v>
      </c>
      <c r="E21" s="62">
        <v>641</v>
      </c>
      <c r="F21" s="112">
        <f t="shared" si="0"/>
        <v>65</v>
      </c>
      <c r="G21" s="77"/>
      <c r="H21" s="57">
        <v>124</v>
      </c>
      <c r="I21" s="56">
        <v>104</v>
      </c>
      <c r="J21" s="71">
        <f t="shared" si="1"/>
        <v>-20</v>
      </c>
      <c r="K21" s="80"/>
      <c r="L21" s="57">
        <v>54</v>
      </c>
      <c r="M21" s="56">
        <v>49</v>
      </c>
      <c r="N21" s="71">
        <f t="shared" si="2"/>
        <v>-5</v>
      </c>
      <c r="O21" s="80"/>
      <c r="P21" s="65">
        <f t="shared" si="6"/>
        <v>40</v>
      </c>
      <c r="Q21" s="84"/>
      <c r="R21" s="141">
        <v>2644</v>
      </c>
      <c r="S21" s="56">
        <v>2757</v>
      </c>
      <c r="T21" s="56">
        <f t="shared" si="3"/>
        <v>113</v>
      </c>
      <c r="U21" s="50"/>
      <c r="V21" s="141">
        <v>2737</v>
      </c>
      <c r="W21" s="117">
        <v>2695</v>
      </c>
      <c r="X21" s="71">
        <f t="shared" si="4"/>
        <v>-42</v>
      </c>
      <c r="Z21" s="65">
        <f>RANK(P21,$P$4:$P$28,1)+COUNTIF($P$4:P21,P21)-1</f>
        <v>17</v>
      </c>
      <c r="AA21" s="68" t="str">
        <f>INDEX(C4:P28,MATCH(18,Z4:Z28,0),1)</f>
        <v>brzozowski</v>
      </c>
      <c r="AB21" s="56">
        <f>INDEX(C4:P28,MATCH(18,Z4:Z28,0),14)</f>
        <v>42</v>
      </c>
      <c r="AC21" s="125"/>
      <c r="AD21" s="126">
        <f>RANK(T21,$T$4:$T$28,1)+COUNTIF($T$4:T21,T21)-1</f>
        <v>22</v>
      </c>
      <c r="AE21" s="68" t="str">
        <f>INDEX(C4:T28,MATCH(18,AD4:AD28,0),1)</f>
        <v>Rzeszów</v>
      </c>
      <c r="AF21" s="56">
        <f>INDEX(C4:T28,MATCH(18,AD4:AD28,0),18)</f>
        <v>30</v>
      </c>
      <c r="AG21" s="85"/>
      <c r="AH21" s="129">
        <v>18</v>
      </c>
      <c r="AI21" s="130">
        <f t="shared" si="5"/>
        <v>-5</v>
      </c>
    </row>
    <row r="22" spans="2:35" x14ac:dyDescent="0.2">
      <c r="B22" s="149">
        <v>19</v>
      </c>
      <c r="C22" s="88" t="s">
        <v>18</v>
      </c>
      <c r="D22" s="135">
        <v>616</v>
      </c>
      <c r="E22" s="62">
        <v>590</v>
      </c>
      <c r="F22" s="112">
        <f t="shared" si="0"/>
        <v>-26</v>
      </c>
      <c r="G22" s="77"/>
      <c r="H22" s="57">
        <v>65</v>
      </c>
      <c r="I22" s="56">
        <v>109</v>
      </c>
      <c r="J22" s="71">
        <f t="shared" si="1"/>
        <v>44</v>
      </c>
      <c r="K22" s="80"/>
      <c r="L22" s="57">
        <v>49</v>
      </c>
      <c r="M22" s="56">
        <v>91</v>
      </c>
      <c r="N22" s="71">
        <f t="shared" si="2"/>
        <v>42</v>
      </c>
      <c r="O22" s="80"/>
      <c r="P22" s="65">
        <f t="shared" si="6"/>
        <v>60</v>
      </c>
      <c r="Q22" s="84"/>
      <c r="R22" s="141">
        <v>1841</v>
      </c>
      <c r="S22" s="56">
        <v>1971</v>
      </c>
      <c r="T22" s="56">
        <f t="shared" si="3"/>
        <v>130</v>
      </c>
      <c r="U22" s="50"/>
      <c r="V22" s="141">
        <v>1943</v>
      </c>
      <c r="W22" s="117">
        <v>4604</v>
      </c>
      <c r="X22" s="71">
        <f t="shared" si="4"/>
        <v>2661</v>
      </c>
      <c r="Z22" s="65">
        <f>RANK(P22,$P$4:$P$28,1)+COUNTIF($P$4:P22,P22)-1</f>
        <v>20</v>
      </c>
      <c r="AA22" s="68" t="str">
        <f>INDEX(C4:P28,MATCH(19,Z4:Z28,0),1)</f>
        <v>Krosno</v>
      </c>
      <c r="AB22" s="56">
        <f>INDEX(C4:P28,MATCH(19,Z4:Z28,0),14)</f>
        <v>51</v>
      </c>
      <c r="AC22" s="125"/>
      <c r="AD22" s="126">
        <f>RANK(T22,$T$4:$T$28,1)+COUNTIF($T$4:T22,T22)-1</f>
        <v>23</v>
      </c>
      <c r="AE22" s="68" t="str">
        <f>INDEX(C4:T28,MATCH(19,AD4:AD28,0),1)</f>
        <v>Krosno</v>
      </c>
      <c r="AF22" s="56">
        <f>INDEX(C4:T28,MATCH(19,AD4:AD28,0),18)</f>
        <v>35</v>
      </c>
      <c r="AG22" s="85"/>
      <c r="AH22" s="129">
        <v>19</v>
      </c>
      <c r="AI22" s="130">
        <f t="shared" si="5"/>
        <v>-3</v>
      </c>
    </row>
    <row r="23" spans="2:35" x14ac:dyDescent="0.2">
      <c r="B23" s="149">
        <v>20</v>
      </c>
      <c r="C23" s="88" t="s">
        <v>19</v>
      </c>
      <c r="D23" s="135">
        <v>699</v>
      </c>
      <c r="E23" s="62">
        <v>704</v>
      </c>
      <c r="F23" s="112">
        <f t="shared" si="0"/>
        <v>5</v>
      </c>
      <c r="G23" s="77"/>
      <c r="H23" s="57">
        <v>167</v>
      </c>
      <c r="I23" s="56">
        <v>162</v>
      </c>
      <c r="J23" s="71">
        <f t="shared" si="1"/>
        <v>-5</v>
      </c>
      <c r="K23" s="80"/>
      <c r="L23" s="57">
        <v>225</v>
      </c>
      <c r="M23" s="56">
        <v>140</v>
      </c>
      <c r="N23" s="71">
        <f t="shared" si="2"/>
        <v>-85</v>
      </c>
      <c r="O23" s="80"/>
      <c r="P23" s="65">
        <f t="shared" si="6"/>
        <v>-85</v>
      </c>
      <c r="Q23" s="84"/>
      <c r="R23" s="141">
        <v>3266</v>
      </c>
      <c r="S23" s="56">
        <v>3195</v>
      </c>
      <c r="T23" s="56">
        <f t="shared" si="3"/>
        <v>-71</v>
      </c>
      <c r="U23" s="50"/>
      <c r="V23" s="141">
        <v>3125</v>
      </c>
      <c r="W23" s="117">
        <v>5039</v>
      </c>
      <c r="X23" s="71">
        <f t="shared" si="4"/>
        <v>1914</v>
      </c>
      <c r="Z23" s="65">
        <f>RANK(P23,$P$4:$P$28,1)+COUNTIF($P$4:P23,P23)-1</f>
        <v>4</v>
      </c>
      <c r="AA23" s="68" t="str">
        <f>INDEX(C4:P28,MATCH(20,Z4:Z28,0),1)</f>
        <v>stalowowolski</v>
      </c>
      <c r="AB23" s="56">
        <f>INDEX(C4:P28,MATCH(20,Z4:Z28,0),14)</f>
        <v>60</v>
      </c>
      <c r="AC23" s="125"/>
      <c r="AD23" s="126">
        <f>RANK(T23,$T$4:$T$28,1)+COUNTIF($T$4:T23,T23)-1</f>
        <v>7</v>
      </c>
      <c r="AE23" s="68" t="str">
        <f>INDEX(C4:T28,MATCH(20,AD4:AD28,0),1)</f>
        <v>kolbuszowski</v>
      </c>
      <c r="AF23" s="56">
        <f>INDEX(C4:T28,MATCH(20,AD4:AD28,0),18)</f>
        <v>40</v>
      </c>
      <c r="AG23" s="85"/>
      <c r="AH23" s="129">
        <v>20</v>
      </c>
      <c r="AI23" s="130">
        <f t="shared" si="5"/>
        <v>-3</v>
      </c>
    </row>
    <row r="24" spans="2:35" ht="12" thickBot="1" x14ac:dyDescent="0.25">
      <c r="B24" s="149">
        <v>21</v>
      </c>
      <c r="C24" s="89" t="s">
        <v>56</v>
      </c>
      <c r="D24" s="136">
        <v>343</v>
      </c>
      <c r="E24" s="81">
        <v>322</v>
      </c>
      <c r="F24" s="113">
        <f t="shared" si="0"/>
        <v>-21</v>
      </c>
      <c r="G24" s="77"/>
      <c r="H24" s="60">
        <v>137</v>
      </c>
      <c r="I24" s="58">
        <v>153</v>
      </c>
      <c r="J24" s="73">
        <f t="shared" si="1"/>
        <v>16</v>
      </c>
      <c r="K24" s="80"/>
      <c r="L24" s="60">
        <v>87</v>
      </c>
      <c r="M24" s="58">
        <v>49</v>
      </c>
      <c r="N24" s="73">
        <f t="shared" si="2"/>
        <v>-38</v>
      </c>
      <c r="O24" s="80"/>
      <c r="P24" s="138">
        <f t="shared" si="6"/>
        <v>-43</v>
      </c>
      <c r="Q24" s="84"/>
      <c r="R24" s="142">
        <v>1284</v>
      </c>
      <c r="S24" s="58">
        <v>1291</v>
      </c>
      <c r="T24" s="59">
        <f t="shared" si="3"/>
        <v>7</v>
      </c>
      <c r="U24" s="50"/>
      <c r="V24" s="142">
        <v>1251</v>
      </c>
      <c r="W24" s="120">
        <v>2728</v>
      </c>
      <c r="X24" s="72">
        <f t="shared" si="4"/>
        <v>1477</v>
      </c>
      <c r="Z24" s="123">
        <f>RANK(P24,$P$4:$P$28,1)+COUNTIF($P$4:P24,P24)-1</f>
        <v>6</v>
      </c>
      <c r="AA24" s="93" t="str">
        <f>INDEX(C4:P28,MATCH(21,Z4:Z28,0),1)</f>
        <v>krośnieński</v>
      </c>
      <c r="AB24" s="59">
        <f>INDEX(C4:P28,MATCH(21,Z4:Z28,0),14)</f>
        <v>91</v>
      </c>
      <c r="AC24" s="125"/>
      <c r="AD24" s="127">
        <f>RANK(T24,$T$4:$T$28,1)+COUNTIF($T$4:T24,T24)-1</f>
        <v>14</v>
      </c>
      <c r="AE24" s="93" t="str">
        <f>INDEX(C4:T28,MATCH(21,AD4:AD28,0),1)</f>
        <v>Tarnobrzeg</v>
      </c>
      <c r="AF24" s="59">
        <f>INDEX(C4:T28,MATCH(21,AD4:AD28,0),18)</f>
        <v>42</v>
      </c>
      <c r="AG24" s="85"/>
      <c r="AH24" s="129">
        <v>21</v>
      </c>
      <c r="AI24" s="130">
        <f t="shared" si="5"/>
        <v>-8</v>
      </c>
    </row>
    <row r="25" spans="2:35" x14ac:dyDescent="0.2">
      <c r="B25" s="149">
        <v>22</v>
      </c>
      <c r="C25" s="90" t="s">
        <v>21</v>
      </c>
      <c r="D25" s="135">
        <v>188</v>
      </c>
      <c r="E25" s="63">
        <v>232</v>
      </c>
      <c r="F25" s="114">
        <f t="shared" si="0"/>
        <v>44</v>
      </c>
      <c r="G25" s="78"/>
      <c r="H25" s="57">
        <v>43</v>
      </c>
      <c r="I25" s="56">
        <v>50</v>
      </c>
      <c r="J25" s="71">
        <f t="shared" si="1"/>
        <v>7</v>
      </c>
      <c r="K25" s="80"/>
      <c r="L25" s="57">
        <v>25</v>
      </c>
      <c r="M25" s="56">
        <v>25</v>
      </c>
      <c r="N25" s="71">
        <f t="shared" si="2"/>
        <v>0</v>
      </c>
      <c r="O25" s="80"/>
      <c r="P25" s="65">
        <f t="shared" si="6"/>
        <v>51</v>
      </c>
      <c r="Q25" s="84"/>
      <c r="R25" s="141">
        <v>720</v>
      </c>
      <c r="S25" s="56">
        <v>755</v>
      </c>
      <c r="T25" s="54">
        <f t="shared" si="3"/>
        <v>35</v>
      </c>
      <c r="U25" s="50"/>
      <c r="V25" s="141">
        <v>790</v>
      </c>
      <c r="W25" s="117">
        <v>1959</v>
      </c>
      <c r="X25" s="116">
        <f t="shared" si="4"/>
        <v>1169</v>
      </c>
      <c r="Z25" s="64">
        <f>RANK(P25,$P$4:$P$28,1)+COUNTIF($P$4:P25,P25)-1</f>
        <v>19</v>
      </c>
      <c r="AA25" s="67" t="str">
        <f>INDEX(C4:P28,MATCH(22,Z4:Z28,0),1)</f>
        <v>Przemyśl</v>
      </c>
      <c r="AB25" s="54">
        <f>INDEX(C4:P28,MATCH(22,Z4:Z28,0),14)</f>
        <v>96</v>
      </c>
      <c r="AC25" s="125"/>
      <c r="AD25" s="64">
        <f>RANK(T25,$T$4:$T$28,1)+COUNTIF($T$4:T25,T25)-1</f>
        <v>19</v>
      </c>
      <c r="AE25" s="67" t="str">
        <f>INDEX(C4:T28,MATCH(22,AD4:AD28,0),1)</f>
        <v>sanocki</v>
      </c>
      <c r="AF25" s="54">
        <f>INDEX(C4:T28,MATCH(22,AD4:AD28,0),18)</f>
        <v>113</v>
      </c>
      <c r="AG25" s="85"/>
      <c r="AH25" s="129">
        <v>22</v>
      </c>
      <c r="AI25" s="130">
        <f t="shared" si="5"/>
        <v>0</v>
      </c>
    </row>
    <row r="26" spans="2:35" x14ac:dyDescent="0.2">
      <c r="B26" s="149">
        <v>23</v>
      </c>
      <c r="C26" s="90" t="s">
        <v>22</v>
      </c>
      <c r="D26" s="135">
        <v>336</v>
      </c>
      <c r="E26" s="63">
        <v>351</v>
      </c>
      <c r="F26" s="114">
        <f t="shared" si="0"/>
        <v>15</v>
      </c>
      <c r="G26" s="78"/>
      <c r="H26" s="57">
        <v>96</v>
      </c>
      <c r="I26" s="56">
        <v>166</v>
      </c>
      <c r="J26" s="71">
        <f t="shared" si="1"/>
        <v>70</v>
      </c>
      <c r="K26" s="80"/>
      <c r="L26" s="57">
        <v>18</v>
      </c>
      <c r="M26" s="56">
        <v>29</v>
      </c>
      <c r="N26" s="71">
        <f t="shared" si="2"/>
        <v>11</v>
      </c>
      <c r="O26" s="80"/>
      <c r="P26" s="65">
        <f t="shared" si="6"/>
        <v>96</v>
      </c>
      <c r="Q26" s="84"/>
      <c r="R26" s="141">
        <v>2487</v>
      </c>
      <c r="S26" s="56">
        <v>2492</v>
      </c>
      <c r="T26" s="56">
        <f t="shared" si="3"/>
        <v>5</v>
      </c>
      <c r="U26" s="50"/>
      <c r="V26" s="141">
        <v>2346</v>
      </c>
      <c r="W26" s="117">
        <v>3059</v>
      </c>
      <c r="X26" s="71">
        <f t="shared" si="4"/>
        <v>713</v>
      </c>
      <c r="Z26" s="65">
        <f>RANK(P26,$P$4:$P$28,1)+COUNTIF($P$4:P26,P26)-1</f>
        <v>22</v>
      </c>
      <c r="AA26" s="68" t="str">
        <f>INDEX(C4:P28,MATCH(23,Z4:Z28,0),1)</f>
        <v>mielecki</v>
      </c>
      <c r="AB26" s="56">
        <f>INDEX(C4:P28,MATCH(23,Z4:Z28,0),14)</f>
        <v>133</v>
      </c>
      <c r="AC26" s="125"/>
      <c r="AD26" s="126">
        <f>RANK(T26,$T$4:$T$28,1)+COUNTIF($T$4:T26,T26)-1</f>
        <v>13</v>
      </c>
      <c r="AE26" s="68" t="str">
        <f>INDEX(C4:T28,MATCH(23,AD4:AD28,0),1)</f>
        <v>stalowowolski</v>
      </c>
      <c r="AF26" s="56">
        <f>INDEX(C4:T28,MATCH(23,AD4:AD28,0),18)</f>
        <v>130</v>
      </c>
      <c r="AG26" s="85"/>
      <c r="AH26" s="129">
        <v>23</v>
      </c>
      <c r="AI26" s="130">
        <f t="shared" si="5"/>
        <v>9</v>
      </c>
    </row>
    <row r="27" spans="2:35" x14ac:dyDescent="0.2">
      <c r="B27" s="149">
        <v>24</v>
      </c>
      <c r="C27" s="90" t="s">
        <v>23</v>
      </c>
      <c r="D27" s="135">
        <v>1138</v>
      </c>
      <c r="E27" s="63">
        <v>1151</v>
      </c>
      <c r="F27" s="114">
        <f t="shared" si="0"/>
        <v>13</v>
      </c>
      <c r="G27" s="78"/>
      <c r="H27" s="57">
        <v>119</v>
      </c>
      <c r="I27" s="56">
        <v>137</v>
      </c>
      <c r="J27" s="71">
        <f t="shared" si="1"/>
        <v>18</v>
      </c>
      <c r="K27" s="80"/>
      <c r="L27" s="57">
        <v>119</v>
      </c>
      <c r="M27" s="56">
        <v>104</v>
      </c>
      <c r="N27" s="71">
        <f t="shared" si="2"/>
        <v>-15</v>
      </c>
      <c r="O27" s="80"/>
      <c r="P27" s="65">
        <f t="shared" si="6"/>
        <v>16</v>
      </c>
      <c r="Q27" s="84"/>
      <c r="R27" s="141">
        <v>5452</v>
      </c>
      <c r="S27" s="56">
        <v>5482</v>
      </c>
      <c r="T27" s="56">
        <f t="shared" si="3"/>
        <v>30</v>
      </c>
      <c r="U27" s="50"/>
      <c r="V27" s="141">
        <v>5033</v>
      </c>
      <c r="W27" s="117">
        <v>1228</v>
      </c>
      <c r="X27" s="71">
        <f t="shared" si="4"/>
        <v>-3805</v>
      </c>
      <c r="Z27" s="65">
        <f>RANK(P27,$P$4:$P$28,1)+COUNTIF($P$4:P27,P27)-1</f>
        <v>13</v>
      </c>
      <c r="AA27" s="68" t="str">
        <f>INDEX(C4:P28,MATCH(24,Z4:Z28,0),1)</f>
        <v>przeworski</v>
      </c>
      <c r="AB27" s="56">
        <f>INDEX(C4:P28,MATCH(24,Z4:Z28,0),14)</f>
        <v>145</v>
      </c>
      <c r="AC27" s="125"/>
      <c r="AD27" s="126">
        <f>RANK(T27,$T$4:$T$28,1)+COUNTIF($T$4:T27,T27)-1</f>
        <v>18</v>
      </c>
      <c r="AE27" s="68" t="str">
        <f>INDEX(C4:T28,MATCH(24,AD4:AD28,0),1)</f>
        <v>krośnieński</v>
      </c>
      <c r="AF27" s="56">
        <f>INDEX(C4:T28,MATCH(24,AD4:AD28,0),18)</f>
        <v>176</v>
      </c>
      <c r="AG27" s="85"/>
      <c r="AH27" s="129">
        <v>24</v>
      </c>
      <c r="AI27" s="130">
        <f t="shared" si="5"/>
        <v>-5</v>
      </c>
    </row>
    <row r="28" spans="2:35" ht="12" thickBot="1" x14ac:dyDescent="0.25">
      <c r="B28" s="149">
        <v>25</v>
      </c>
      <c r="C28" s="91" t="s">
        <v>24</v>
      </c>
      <c r="D28" s="136">
        <v>281</v>
      </c>
      <c r="E28" s="82">
        <v>278</v>
      </c>
      <c r="F28" s="115">
        <f t="shared" si="0"/>
        <v>-3</v>
      </c>
      <c r="G28" s="78"/>
      <c r="H28" s="60">
        <v>92</v>
      </c>
      <c r="I28" s="58">
        <v>78</v>
      </c>
      <c r="J28" s="73">
        <f t="shared" si="1"/>
        <v>-14</v>
      </c>
      <c r="K28" s="80"/>
      <c r="L28" s="60">
        <v>80</v>
      </c>
      <c r="M28" s="58">
        <v>71</v>
      </c>
      <c r="N28" s="73">
        <f t="shared" si="2"/>
        <v>-9</v>
      </c>
      <c r="O28" s="80"/>
      <c r="P28" s="92">
        <f t="shared" si="6"/>
        <v>-26</v>
      </c>
      <c r="Q28" s="84"/>
      <c r="R28" s="142">
        <v>1065</v>
      </c>
      <c r="S28" s="58">
        <v>1107</v>
      </c>
      <c r="T28" s="58">
        <f t="shared" si="3"/>
        <v>42</v>
      </c>
      <c r="U28" s="50"/>
      <c r="V28" s="142">
        <v>1065</v>
      </c>
      <c r="W28" s="120">
        <v>1086</v>
      </c>
      <c r="X28" s="73">
        <f t="shared" si="4"/>
        <v>21</v>
      </c>
      <c r="Z28" s="92">
        <f>RANK(P28,$P$4:$P$28,1)+COUNTIF($P$4:P28,P28)-1</f>
        <v>9</v>
      </c>
      <c r="AA28" s="69" t="str">
        <f>INDEX(C4:P28,MATCH(25,Z4:Z28,0),1)</f>
        <v>przemyski</v>
      </c>
      <c r="AB28" s="58">
        <f>INDEX(C4:P28,MATCH(25,Z4:Z28,0),14)</f>
        <v>179</v>
      </c>
      <c r="AC28" s="125"/>
      <c r="AD28" s="128">
        <f>RANK(T28,$T$4:$T$28,1)+COUNTIF($T$4:T28,T28)-1</f>
        <v>21</v>
      </c>
      <c r="AE28" s="69" t="str">
        <f>INDEX(C4:T28,MATCH(25,AD4:AD28,0),1)</f>
        <v>mielecki</v>
      </c>
      <c r="AF28" s="58">
        <f>INDEX(C4:T28,MATCH(25,AD4:AD28,0),18)</f>
        <v>223</v>
      </c>
      <c r="AG28" s="85"/>
      <c r="AH28" s="129">
        <v>25</v>
      </c>
      <c r="AI28" s="130">
        <f t="shared" si="5"/>
        <v>-12</v>
      </c>
    </row>
    <row r="29" spans="2:35" ht="12" thickBot="1" x14ac:dyDescent="0.25">
      <c r="C29" s="94" t="s">
        <v>57</v>
      </c>
      <c r="D29" s="95">
        <f>SUM(D4:D28)</f>
        <v>14790</v>
      </c>
      <c r="E29" s="99">
        <f>SUM(E4:E28)</f>
        <v>14663</v>
      </c>
      <c r="F29" s="100">
        <f t="shared" ref="F29:S29" si="7">SUM(F4:F28)</f>
        <v>-127</v>
      </c>
      <c r="G29" s="80"/>
      <c r="H29" s="97">
        <f t="shared" si="7"/>
        <v>3585</v>
      </c>
      <c r="I29" s="96">
        <f t="shared" si="7"/>
        <v>3798</v>
      </c>
      <c r="J29" s="100">
        <f t="shared" si="7"/>
        <v>213</v>
      </c>
      <c r="K29" s="80"/>
      <c r="L29" s="97">
        <f t="shared" si="7"/>
        <v>2154</v>
      </c>
      <c r="M29" s="96">
        <f t="shared" si="7"/>
        <v>2435</v>
      </c>
      <c r="N29" s="100">
        <f t="shared" si="7"/>
        <v>281</v>
      </c>
      <c r="O29" s="80"/>
      <c r="P29" s="98">
        <f t="shared" si="7"/>
        <v>367</v>
      </c>
      <c r="Q29" s="85"/>
      <c r="R29" s="143">
        <f t="shared" si="7"/>
        <v>69046</v>
      </c>
      <c r="S29" s="96">
        <f t="shared" si="7"/>
        <v>68791</v>
      </c>
      <c r="T29" s="99">
        <f>SUM(T4:T28)</f>
        <v>-255</v>
      </c>
      <c r="U29" s="50"/>
      <c r="V29" s="143">
        <f>SUM(V4:V28)</f>
        <v>67653</v>
      </c>
      <c r="W29" s="121">
        <f>SUM(W4:W28)</f>
        <v>66247</v>
      </c>
      <c r="X29" s="121">
        <f>SUM(W29-V29)</f>
        <v>-1406</v>
      </c>
      <c r="Z29" s="122"/>
      <c r="AA29" s="122"/>
      <c r="AB29" s="122"/>
      <c r="AC29" s="85"/>
      <c r="AD29" s="122"/>
      <c r="AE29" s="122"/>
      <c r="AF29" s="122"/>
      <c r="AG29" s="85"/>
      <c r="AH29" s="85"/>
      <c r="AI29" s="74"/>
    </row>
    <row r="30" spans="2:35" x14ac:dyDescent="0.2">
      <c r="Q30" s="86"/>
    </row>
  </sheetData>
  <pageMargins left="0" right="0" top="0" bottom="0" header="0" footer="0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EE9B"/>
    <pageSetUpPr fitToPage="1"/>
  </sheetPr>
  <dimension ref="B1:AG30"/>
  <sheetViews>
    <sheetView zoomScale="80" zoomScaleNormal="8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6.85546875" style="3" customWidth="1"/>
    <col min="3" max="3" width="25.42578125" style="3" customWidth="1"/>
    <col min="4" max="4" width="15" style="3" customWidth="1"/>
    <col min="5" max="5" width="15.28515625" style="3" customWidth="1"/>
    <col min="6" max="6" width="14.85546875" style="3" customWidth="1"/>
    <col min="7" max="7" width="15.5703125" style="3" customWidth="1"/>
    <col min="8" max="8" width="17" style="3" customWidth="1"/>
    <col min="9" max="9" width="2.42578125" style="3" customWidth="1"/>
    <col min="10" max="10" width="2.5703125" style="3" customWidth="1"/>
    <col min="11" max="11" width="5.42578125" style="3" customWidth="1"/>
    <col min="12" max="12" width="9.140625" style="3"/>
    <col min="13" max="13" width="5.85546875" style="3" customWidth="1"/>
    <col min="14" max="18" width="9.140625" style="3"/>
    <col min="19" max="19" width="6.85546875" style="3" customWidth="1"/>
    <col min="20" max="20" width="2.7109375" style="3" customWidth="1"/>
    <col min="21" max="21" width="2.42578125" style="3" customWidth="1"/>
    <col min="22" max="22" width="7.85546875" style="3" customWidth="1"/>
    <col min="23" max="23" width="16.140625" style="3" customWidth="1"/>
    <col min="24" max="24" width="16.42578125" style="3" customWidth="1"/>
    <col min="25" max="25" width="4.7109375" style="3" customWidth="1"/>
    <col min="26" max="26" width="22.42578125" style="3" customWidth="1"/>
    <col min="27" max="27" width="6.5703125" style="3" customWidth="1"/>
    <col min="28" max="28" width="15.140625" style="3" customWidth="1"/>
    <col min="29" max="29" width="13.140625" style="3" customWidth="1"/>
    <col min="30" max="30" width="4" style="3" customWidth="1"/>
    <col min="31" max="31" width="7.5703125" style="3" customWidth="1"/>
    <col min="32" max="32" width="13.42578125" style="3" customWidth="1"/>
    <col min="33" max="33" width="12.7109375" style="3" customWidth="1"/>
    <col min="34" max="16384" width="9.140625" style="3"/>
  </cols>
  <sheetData>
    <row r="1" spans="2:33" x14ac:dyDescent="0.2">
      <c r="B1" s="2" t="s">
        <v>32</v>
      </c>
      <c r="V1" s="2" t="s">
        <v>66</v>
      </c>
      <c r="AA1" s="2" t="s">
        <v>67</v>
      </c>
    </row>
    <row r="2" spans="2:33" ht="15" x14ac:dyDescent="0.2">
      <c r="C2" s="20"/>
      <c r="D2" s="21"/>
      <c r="W2" s="20"/>
      <c r="X2" s="21"/>
      <c r="Y2" s="21"/>
      <c r="AB2" s="20"/>
      <c r="AC2" s="21"/>
    </row>
    <row r="3" spans="2:33" ht="69" customHeight="1" x14ac:dyDescent="0.2">
      <c r="B3" s="43" t="s">
        <v>42</v>
      </c>
      <c r="C3" s="36" t="str">
        <f>T('1bezr.'!B2)</f>
        <v>powiaty</v>
      </c>
      <c r="D3" s="37" t="str">
        <f>T('1bezr.'!C2)</f>
        <v>liczba bezrobotnych ogółem stan na 30-04-'24 r.</v>
      </c>
      <c r="E3" s="38" t="str">
        <f>T('1bezr.'!D2)</f>
        <v>liczba bezrobotnych ogółem stan na 31-03-'24 r.</v>
      </c>
      <c r="F3" s="37" t="str">
        <f>T('1bezr.'!E2)</f>
        <v>wzrost/spadek do miesiąca poprzedniego</v>
      </c>
      <c r="G3" s="38" t="str">
        <f>T('1bezr.'!F2)</f>
        <v>liczba bezrobotnych ogółem stan na 30-04-'23 r.</v>
      </c>
      <c r="H3" s="37" t="str">
        <f>T('1bezr.'!G2)</f>
        <v>wzrost/spadek do analogicznego okresu ubr.</v>
      </c>
      <c r="V3" s="43" t="s">
        <v>42</v>
      </c>
      <c r="W3" s="36" t="str">
        <f>T('1bezr.'!B2)</f>
        <v>powiaty</v>
      </c>
      <c r="X3" s="37" t="str">
        <f>T('1bezr.'!E2)</f>
        <v>wzrost/spadek do miesiąca poprzedniego</v>
      </c>
      <c r="Y3" s="153"/>
      <c r="AA3" s="43" t="s">
        <v>42</v>
      </c>
      <c r="AB3" s="36" t="str">
        <f>T('1bezr.'!B2)</f>
        <v>powiaty</v>
      </c>
      <c r="AC3" s="36" t="str">
        <f>T('1bezr.'!C2)</f>
        <v>liczba bezrobotnych ogółem stan na 30-04-'24 r.</v>
      </c>
      <c r="AE3" s="43" t="s">
        <v>42</v>
      </c>
      <c r="AF3" s="36" t="str">
        <f>T('1bezr.'!B2)</f>
        <v>powiaty</v>
      </c>
      <c r="AG3" s="36" t="str">
        <f>T('1bezr.'!C2)</f>
        <v>liczba bezrobotnych ogółem stan na 30-04-'24 r.</v>
      </c>
    </row>
    <row r="4" spans="2:33" x14ac:dyDescent="0.2">
      <c r="B4" s="6">
        <f>RANK('1bezr.'!C3,'1bezr.'!$C$3:'1bezr.'!$C$28,1)+COUNTIF('1bezr.'!$C$3:'1bezr.'!C3,'1bezr.'!C3)-1</f>
        <v>2</v>
      </c>
      <c r="C4" s="5" t="str">
        <f>INDEX('1bezr.'!B3:G28,MATCH(1,B4:B29,0),1)</f>
        <v>Krosno</v>
      </c>
      <c r="D4" s="24">
        <f>INDEX('1bezr.'!B3:G28,MATCH(1,B4:B29,0),2)</f>
        <v>862</v>
      </c>
      <c r="E4" s="42">
        <f>INDEX('1bezr.'!B3:G28,MATCH(1,B4:B29,0),3)</f>
        <v>875</v>
      </c>
      <c r="F4" s="6">
        <f>INDEX('1bezr.'!B3:G28,MATCH(1,B4:B29,0),4)</f>
        <v>-13</v>
      </c>
      <c r="G4" s="42">
        <f>INDEX('1bezr.'!B3:G28,MATCH(1,B4:B29,0),5)</f>
        <v>755</v>
      </c>
      <c r="H4" s="6">
        <f>INDEX('1bezr.'!B3:G28,MATCH(1,B4:B29,0),6)</f>
        <v>107</v>
      </c>
      <c r="V4" s="6">
        <f>RANK('1bezr.'!E3,'1bezr.'!$E$3:'1bezr.'!$E$28,1)+COUNTIF('1bezr.'!$E$3:'1bezr.'!E3,'1bezr.'!E3)-1</f>
        <v>21</v>
      </c>
      <c r="W4" s="163" t="str">
        <f>INDEX('1bezr.'!B3:G28,MATCH(1,V4:V29,0),1)</f>
        <v>województwo</v>
      </c>
      <c r="X4" s="164">
        <f>INDEX('1bezr.'!E3:G28,MATCH(1,V4:V29,0),1)</f>
        <v>-2152</v>
      </c>
      <c r="Y4" s="165"/>
      <c r="Z4" s="2"/>
      <c r="AA4" s="6">
        <f>RANK('1bezr.'!C3,'1bezr.'!$C$3:'1bezr.'!$C$28,1)+COUNTIF('1bezr.'!$C$3:'1bezr.'!C3,'1bezr.'!C3)-1</f>
        <v>2</v>
      </c>
      <c r="AB4" s="160" t="str">
        <f>INDEX('1bezr.'!B3:G28,MATCH(25,AA4:AA29,0),1)</f>
        <v>Rzeszów</v>
      </c>
      <c r="AC4" s="161">
        <f>INDEX('1bezr.'!B3:G28,MATCH(25,AA4:AA29,0),2)</f>
        <v>5039</v>
      </c>
      <c r="AE4" s="6">
        <f>RANK('1bezr.'!C3,'1bezr.'!$C$3:'1bezr.'!$C$28,1)+COUNTIF('1bezr.'!$C$3:'1bezr.'!C3,'1bezr.'!C3)-1</f>
        <v>2</v>
      </c>
      <c r="AF4" s="160" t="str">
        <f>INDEX('1bezr.'!B3:G28,MATCH(1,AE4:AE29,0),1)</f>
        <v>Krosno</v>
      </c>
      <c r="AG4" s="161">
        <f>INDEX('1bezr.'!B3:K28,MATCH(1,AE4:AE29,0),2)</f>
        <v>862</v>
      </c>
    </row>
    <row r="5" spans="2:33" x14ac:dyDescent="0.2">
      <c r="B5" s="6">
        <f>RANK('1bezr.'!C4,'1bezr.'!$C$3:'1bezr.'!$C$28,1)+COUNTIF('1bezr.'!$C$3:'1bezr.'!C4,'1bezr.'!C4)-1</f>
        <v>21</v>
      </c>
      <c r="C5" s="5" t="str">
        <f>INDEX('1bezr.'!B3:G28,MATCH(2,B4:B29,0),1)</f>
        <v>bieszczadzki</v>
      </c>
      <c r="D5" s="6">
        <f>INDEX('1bezr.'!B3:G28,MATCH(2,B4:B29,0),2)</f>
        <v>1039</v>
      </c>
      <c r="E5" s="42">
        <f>INDEX('1bezr.'!B3:G28,MATCH(2,B4:B29,0),3)</f>
        <v>1082</v>
      </c>
      <c r="F5" s="6">
        <f>INDEX('1bezr.'!B3:G28,MATCH(2,B4:B29,0),4)</f>
        <v>-43</v>
      </c>
      <c r="G5" s="42">
        <f>INDEX('1bezr.'!B3:G28,MATCH(2,B4:B29,0),5)</f>
        <v>1091</v>
      </c>
      <c r="H5" s="6">
        <f>INDEX('1bezr.'!B3:G28,MATCH(2,B4:B29,0),6)</f>
        <v>-52</v>
      </c>
      <c r="V5" s="6">
        <f>RANK('1bezr.'!E4,'1bezr.'!$E$3:'1bezr.'!$E$28,1)+COUNTIF('1bezr.'!$E$3:'1bezr.'!E4,'1bezr.'!E4)-1</f>
        <v>3</v>
      </c>
      <c r="W5" s="166" t="str">
        <f>INDEX('1bezr.'!B3:G28,MATCH(2,V4:V29,0),1)</f>
        <v>jasielski</v>
      </c>
      <c r="X5" s="161">
        <f>INDEX('1bezr.'!E3:G28,MATCH(2,V4:V29,0),1)</f>
        <v>-244</v>
      </c>
      <c r="Y5" s="167">
        <v>1</v>
      </c>
      <c r="Z5" s="2"/>
      <c r="AA5" s="6">
        <f>RANK('1bezr.'!C4,'1bezr.'!$C$3:'1bezr.'!$C$28,1)+COUNTIF('1bezr.'!$C$3:'1bezr.'!C4,'1bezr.'!C4)-1</f>
        <v>21</v>
      </c>
      <c r="AB5" s="160" t="str">
        <f>INDEX('1bezr.'!B3:G28,MATCH(24,AA4:AA29,0),1)</f>
        <v>jasielski</v>
      </c>
      <c r="AC5" s="161">
        <f>INDEX('1bezr.'!B3:K28,MATCH(24,AA4:AA29,0),2)</f>
        <v>4902</v>
      </c>
      <c r="AE5" s="6">
        <f>RANK('1bezr.'!C4,'1bezr.'!$C$3:'1bezr.'!$C$28,1)+COUNTIF('1bezr.'!$C$3:'1bezr.'!C4,'1bezr.'!C4)-1</f>
        <v>21</v>
      </c>
      <c r="AF5" s="160" t="str">
        <f>INDEX('1bezr.'!B3:G28,MATCH(2,AE4:AE29,0),1)</f>
        <v>bieszczadzki</v>
      </c>
      <c r="AG5" s="161">
        <f>INDEX('1bezr.'!B3:K28,MATCH(2,AE4:AE29,0),2)</f>
        <v>1039</v>
      </c>
    </row>
    <row r="6" spans="2:33" x14ac:dyDescent="0.2">
      <c r="B6" s="6">
        <f>RANK('1bezr.'!C5,'1bezr.'!$C$3:'1bezr.'!$C$28,1)+COUNTIF('1bezr.'!$C$3:'1bezr.'!C5,'1bezr.'!C5)-1</f>
        <v>11</v>
      </c>
      <c r="C6" s="5" t="str">
        <f>INDEX('1bezr.'!B3:G28,MATCH(3,B4:B29,0),1)</f>
        <v>Tarnobrzeg</v>
      </c>
      <c r="D6" s="6">
        <f>INDEX('1bezr.'!B3:G28,MATCH(3,B4:B29,0),2)</f>
        <v>1086</v>
      </c>
      <c r="E6" s="42">
        <f>INDEX('1bezr.'!B3:G28,MATCH(3,B4:B29,0),3)</f>
        <v>1121</v>
      </c>
      <c r="F6" s="6">
        <f>INDEX('1bezr.'!B3:G28,MATCH(3,B4:B29,0),4)</f>
        <v>-35</v>
      </c>
      <c r="G6" s="42">
        <f>INDEX('1bezr.'!B3:G28,MATCH(3,B4:B29,0),5)</f>
        <v>1107</v>
      </c>
      <c r="H6" s="6">
        <f>INDEX('1bezr.'!B3:G28,MATCH(3,B4:B29,0),6)</f>
        <v>-21</v>
      </c>
      <c r="V6" s="6">
        <f>RANK('1bezr.'!E5,'1bezr.'!$E$3:'1bezr.'!$E$28,1)+COUNTIF('1bezr.'!$E$3:'1bezr.'!E5,'1bezr.'!E5)-1</f>
        <v>7</v>
      </c>
      <c r="W6" s="168" t="str">
        <f>INDEX('1bezr.'!B3:G28,MATCH(3,V4:V29,0),1)</f>
        <v>brzozowski</v>
      </c>
      <c r="X6" s="161">
        <f>INDEX('1bezr.'!E3:G28,MATCH(3,V4:V29,0),1)</f>
        <v>-193</v>
      </c>
      <c r="Y6" s="167">
        <v>2</v>
      </c>
      <c r="Z6" s="2"/>
      <c r="AA6" s="6">
        <f>RANK('1bezr.'!C5,'1bezr.'!$C$3:'1bezr.'!$C$28,1)+COUNTIF('1bezr.'!$C$3:'1bezr.'!C5,'1bezr.'!C5)-1</f>
        <v>11</v>
      </c>
      <c r="AB6" s="160" t="str">
        <f>INDEX('1bezr.'!B3:G28,MATCH(23,AA4:AA29,0),1)</f>
        <v>rzeszowski</v>
      </c>
      <c r="AC6" s="161">
        <f>INDEX('1bezr.'!B3:K28,MATCH(23,AA4:AA29,0),2)</f>
        <v>4604</v>
      </c>
      <c r="AE6" s="6">
        <f>RANK('1bezr.'!C5,'1bezr.'!$C$3:'1bezr.'!$C$28,1)+COUNTIF('1bezr.'!$C$3:'1bezr.'!C5,'1bezr.'!C5)-1</f>
        <v>11</v>
      </c>
      <c r="AF6" s="160" t="str">
        <f>INDEX('1bezr.'!B3:G28,MATCH(3,AE4:AE29,0),1)</f>
        <v>Tarnobrzeg</v>
      </c>
      <c r="AG6" s="161">
        <f>INDEX('1bezr.'!B3:K28,MATCH(3,AE4:AE29,0),2)</f>
        <v>1086</v>
      </c>
    </row>
    <row r="7" spans="2:33" x14ac:dyDescent="0.2">
      <c r="B7" s="6">
        <f>RANK('1bezr.'!C6,'1bezr.'!$C$3:'1bezr.'!$C$28,1)+COUNTIF('1bezr.'!$C$3:'1bezr.'!C6,'1bezr.'!C6)-1</f>
        <v>22</v>
      </c>
      <c r="C7" s="5" t="str">
        <f>INDEX('1bezr.'!B3:G28,MATCH(4,B4:B29,0),1)</f>
        <v xml:space="preserve">tarnobrzeski </v>
      </c>
      <c r="D7" s="6">
        <f>INDEX('1bezr.'!B3:G28,MATCH(4,B4:B29,0),2)</f>
        <v>1228</v>
      </c>
      <c r="E7" s="42">
        <f>INDEX('1bezr.'!B3:G28,MATCH(4,B4:B29,0),3)</f>
        <v>1298</v>
      </c>
      <c r="F7" s="6">
        <f>INDEX('1bezr.'!B3:G28,MATCH(4,B4:B29,0),4)</f>
        <v>-70</v>
      </c>
      <c r="G7" s="42">
        <f>INDEX('1bezr.'!B3:G28,MATCH(4,B4:B29,0),5)</f>
        <v>1291</v>
      </c>
      <c r="H7" s="6">
        <f>INDEX('1bezr.'!B3:G28,MATCH(4,B4:B29,0),6)</f>
        <v>-63</v>
      </c>
      <c r="V7" s="6">
        <f>RANK('1bezr.'!E6,'1bezr.'!$E$3:'1bezr.'!$E$28,1)+COUNTIF('1bezr.'!$E$3:'1bezr.'!E6,'1bezr.'!E6)-1</f>
        <v>4</v>
      </c>
      <c r="W7" s="168" t="str">
        <f>INDEX('1bezr.'!B3:G28,MATCH(4,V4:V29,0),1)</f>
        <v>jarosławski</v>
      </c>
      <c r="X7" s="161">
        <f>INDEX('1bezr.'!E3:G28,MATCH(4,V4:V29,0),1)</f>
        <v>-193</v>
      </c>
      <c r="Y7" s="167">
        <v>3</v>
      </c>
      <c r="Z7" s="2"/>
      <c r="AA7" s="6">
        <f>RANK('1bezr.'!C6,'1bezr.'!$C$3:'1bezr.'!$C$28,1)+COUNTIF('1bezr.'!$C$3:'1bezr.'!C6,'1bezr.'!C6)-1</f>
        <v>22</v>
      </c>
      <c r="AB7" s="160" t="str">
        <f>INDEX('1bezr.'!B3:G28,MATCH(22,AA4:AA29,0),1)</f>
        <v>jarosławski</v>
      </c>
      <c r="AC7" s="161">
        <f>INDEX('1bezr.'!B3:K28,MATCH(22,AA4:AA29,0),2)</f>
        <v>4276</v>
      </c>
      <c r="AE7" s="6">
        <f>RANK('1bezr.'!C6,'1bezr.'!$C$3:'1bezr.'!$C$28,1)+COUNTIF('1bezr.'!$C$3:'1bezr.'!C6,'1bezr.'!C6)-1</f>
        <v>22</v>
      </c>
      <c r="AF7" s="160" t="str">
        <f>INDEX('1bezr.'!B3:G28,MATCH(4,AE4:AE29,0),1)</f>
        <v xml:space="preserve">tarnobrzeski </v>
      </c>
      <c r="AG7" s="161">
        <f>INDEX('1bezr.'!B3:K28,MATCH(4,AE4:AE29,0),2)</f>
        <v>1228</v>
      </c>
    </row>
    <row r="8" spans="2:33" x14ac:dyDescent="0.2">
      <c r="B8" s="6">
        <f>RANK('1bezr.'!C7,'1bezr.'!$C$3:'1bezr.'!$C$28,1)+COUNTIF('1bezr.'!$C$3:'1bezr.'!C7,'1bezr.'!C7)-1</f>
        <v>24</v>
      </c>
      <c r="C8" s="5" t="str">
        <f>INDEX('1bezr.'!B3:G28,MATCH(5,B4:B29,0),1)</f>
        <v>kolbuszowski</v>
      </c>
      <c r="D8" s="6">
        <f>INDEX('1bezr.'!B3:G28,MATCH(5,B4:B29,0),2)</f>
        <v>1525</v>
      </c>
      <c r="E8" s="42">
        <f>INDEX('1bezr.'!B3:G28,MATCH(5,B4:B29,0),3)</f>
        <v>1571</v>
      </c>
      <c r="F8" s="6">
        <f>INDEX('1bezr.'!B3:G28,MATCH(5,B4:B29,0),4)</f>
        <v>-46</v>
      </c>
      <c r="G8" s="42">
        <f>INDEX('1bezr.'!B3:G28,MATCH(5,B4:B29,0),5)</f>
        <v>1617</v>
      </c>
      <c r="H8" s="6">
        <f>INDEX('1bezr.'!B3:G28,MATCH(5,B4:B29,0),6)</f>
        <v>-92</v>
      </c>
      <c r="V8" s="6">
        <f>RANK('1bezr.'!E7,'1bezr.'!$E$3:'1bezr.'!$E$28,1)+COUNTIF('1bezr.'!$E$3:'1bezr.'!E7,'1bezr.'!E7)-1</f>
        <v>2</v>
      </c>
      <c r="W8" s="168" t="str">
        <f>INDEX('1bezr.'!B3:G28,MATCH(5,V4:V29,0),1)</f>
        <v>sanocki</v>
      </c>
      <c r="X8" s="161">
        <f>INDEX('1bezr.'!E3:G28,MATCH(5,V4:V29,0),1)</f>
        <v>-155</v>
      </c>
      <c r="Y8" s="167">
        <v>4</v>
      </c>
      <c r="Z8" s="2"/>
      <c r="AA8" s="6">
        <f>RANK('1bezr.'!C7,'1bezr.'!$C$3:'1bezr.'!$C$28,1)+COUNTIF('1bezr.'!$C$3:'1bezr.'!C7,'1bezr.'!C7)-1</f>
        <v>24</v>
      </c>
      <c r="AB8" s="160" t="str">
        <f>INDEX('1bezr.'!B3:G28,MATCH(21,AA4:AA29,0),1)</f>
        <v>brzozowski</v>
      </c>
      <c r="AC8" s="161">
        <f>INDEX('1bezr.'!B3:K28,MATCH(21,AA4:AA29,0),2)</f>
        <v>3585</v>
      </c>
      <c r="AE8" s="6">
        <f>RANK('1bezr.'!C7,'1bezr.'!$C$3:'1bezr.'!$C$28,1)+COUNTIF('1bezr.'!$C$3:'1bezr.'!C7,'1bezr.'!C7)-1</f>
        <v>24</v>
      </c>
      <c r="AF8" s="160" t="str">
        <f>INDEX('1bezr.'!B3:G28,MATCH(5,AE4:AE29,0),1)</f>
        <v>kolbuszowski</v>
      </c>
      <c r="AG8" s="161">
        <f>INDEX('1bezr.'!B3:K28,MATCH(5,AE4:AE29,0),2)</f>
        <v>1525</v>
      </c>
    </row>
    <row r="9" spans="2:33" x14ac:dyDescent="0.2">
      <c r="B9" s="6">
        <f>RANK('1bezr.'!C8,'1bezr.'!$C$3:'1bezr.'!$C$28,1)+COUNTIF('1bezr.'!$C$3:'1bezr.'!C8,'1bezr.'!C8)-1</f>
        <v>5</v>
      </c>
      <c r="C9" s="5" t="str">
        <f>INDEX('1bezr.'!B3:G28,MATCH(6,B4:B29,0),1)</f>
        <v>lubaczowski</v>
      </c>
      <c r="D9" s="6">
        <f>INDEX('1bezr.'!B3:G28,MATCH(6,B4:B29,0),2)</f>
        <v>1656</v>
      </c>
      <c r="E9" s="42">
        <f>INDEX('1bezr.'!B3:G28,MATCH(6,B4:B29,0),3)</f>
        <v>1769</v>
      </c>
      <c r="F9" s="6">
        <f>INDEX('1bezr.'!B3:G28,MATCH(6,B4:B29,0),4)</f>
        <v>-113</v>
      </c>
      <c r="G9" s="42">
        <f>INDEX('1bezr.'!B3:G28,MATCH(6,B4:B29,0),5)</f>
        <v>1771</v>
      </c>
      <c r="H9" s="6">
        <f>INDEX('1bezr.'!B3:G28,MATCH(6,B4:B29,0),6)</f>
        <v>-115</v>
      </c>
      <c r="V9" s="6">
        <f>RANK('1bezr.'!E8,'1bezr.'!$E$3:'1bezr.'!$E$28,1)+COUNTIF('1bezr.'!$E$3:'1bezr.'!E8,'1bezr.'!E8)-1</f>
        <v>20</v>
      </c>
      <c r="W9" s="168" t="str">
        <f>INDEX('1bezr.'!B3:G28,MATCH(6,V4:V29,0),1)</f>
        <v>przemyski</v>
      </c>
      <c r="X9" s="161">
        <f>INDEX('1bezr.'!E3:G28,MATCH(6,V4:V29,0),1)</f>
        <v>-143</v>
      </c>
      <c r="Y9" s="167">
        <v>5</v>
      </c>
      <c r="Z9" s="2"/>
      <c r="AA9" s="6">
        <f>RANK('1bezr.'!C8,'1bezr.'!$C$3:'1bezr.'!$C$28,1)+COUNTIF('1bezr.'!$C$3:'1bezr.'!C8,'1bezr.'!C8)-1</f>
        <v>5</v>
      </c>
      <c r="AB9" s="160" t="str">
        <f>INDEX('1bezr.'!B3:G28,MATCH(20,AA4:AA29,0),1)</f>
        <v>przeworski</v>
      </c>
      <c r="AC9" s="161">
        <f>INDEX('1bezr.'!B3:K28,MATCH(20,AA4:AA29,0),2)</f>
        <v>3160</v>
      </c>
      <c r="AE9" s="6">
        <f>RANK('1bezr.'!C8,'1bezr.'!$C$3:'1bezr.'!$C$28,1)+COUNTIF('1bezr.'!$C$3:'1bezr.'!C8,'1bezr.'!C8)-1</f>
        <v>5</v>
      </c>
      <c r="AF9" s="160" t="str">
        <f>INDEX('1bezr.'!B3:G28,MATCH(6,AE4:AE29,0),1)</f>
        <v>lubaczowski</v>
      </c>
      <c r="AG9" s="161">
        <f>INDEX('1bezr.'!B3:K28,MATCH(6,AE4:AE29,0),2)</f>
        <v>1656</v>
      </c>
    </row>
    <row r="10" spans="2:33" x14ac:dyDescent="0.2">
      <c r="B10" s="6">
        <f>RANK('1bezr.'!C9,'1bezr.'!$C$3:'1bezr.'!$C$28,1)+COUNTIF('1bezr.'!$C$3:'1bezr.'!C9,'1bezr.'!C9)-1</f>
        <v>10</v>
      </c>
      <c r="C10" s="9" t="str">
        <f>INDEX('1bezr.'!B3:G28,MATCH(7,B4:B29,0),1)</f>
        <v>leski</v>
      </c>
      <c r="D10" s="6">
        <f>INDEX('1bezr.'!B3:G28,MATCH(7,B4:B29,0),2)</f>
        <v>1676</v>
      </c>
      <c r="E10" s="42">
        <f>INDEX('1bezr.'!B3:G28,MATCH(7,B4:B29,0),3)</f>
        <v>1733</v>
      </c>
      <c r="F10" s="6">
        <f>INDEX('1bezr.'!B3:G28,MATCH(7,B4:B29,0),4)</f>
        <v>-57</v>
      </c>
      <c r="G10" s="42">
        <f>INDEX('1bezr.'!B3:G28,MATCH(7,B4:B29,0),5)</f>
        <v>1756</v>
      </c>
      <c r="H10" s="6">
        <f>INDEX('1bezr.'!B3:G28,MATCH(7,B4:B29,0),6)</f>
        <v>-80</v>
      </c>
      <c r="V10" s="6">
        <f>RANK('1bezr.'!E9,'1bezr.'!$E$3:'1bezr.'!$E$28,1)+COUNTIF('1bezr.'!$E$3:'1bezr.'!E9,'1bezr.'!E9)-1</f>
        <v>11</v>
      </c>
      <c r="W10" s="169" t="str">
        <f>INDEX('1bezr.'!B3:G28,MATCH(7,V4:V29,0),1)</f>
        <v>dębicki</v>
      </c>
      <c r="X10" s="161">
        <f>INDEX('1bezr.'!E3:G28,MATCH(7,V4:V29,0),1)</f>
        <v>-123</v>
      </c>
      <c r="Y10" s="167">
        <v>6</v>
      </c>
      <c r="Z10" s="2"/>
      <c r="AA10" s="6">
        <f>RANK('1bezr.'!C9,'1bezr.'!$C$3:'1bezr.'!$C$28,1)+COUNTIF('1bezr.'!$C$3:'1bezr.'!C9,'1bezr.'!C9)-1</f>
        <v>10</v>
      </c>
      <c r="AB10" s="162" t="str">
        <f>INDEX('1bezr.'!B3:G28,MATCH(19,AA4:AA29,0),1)</f>
        <v>strzyżowski</v>
      </c>
      <c r="AC10" s="161">
        <f>INDEX('1bezr.'!B3:K28,MATCH(19,AA4:AA29,0),2)</f>
        <v>3059</v>
      </c>
      <c r="AE10" s="6">
        <f>RANK('1bezr.'!C9,'1bezr.'!$C$3:'1bezr.'!$C$28,1)+COUNTIF('1bezr.'!$C$3:'1bezr.'!C9,'1bezr.'!C9)-1</f>
        <v>10</v>
      </c>
      <c r="AF10" s="162" t="str">
        <f>INDEX('1bezr.'!B3:G28,MATCH(7,AE4:AE29,0),1)</f>
        <v>leski</v>
      </c>
      <c r="AG10" s="161">
        <f>INDEX('1bezr.'!B3:K28,MATCH(7,AE4:AE29,0),2)</f>
        <v>1676</v>
      </c>
    </row>
    <row r="11" spans="2:33" x14ac:dyDescent="0.2">
      <c r="B11" s="6">
        <f>RANK('1bezr.'!C10,'1bezr.'!$C$3:'1bezr.'!$C$28,1)+COUNTIF('1bezr.'!$C$3:'1bezr.'!C10,'1bezr.'!C10)-1</f>
        <v>7</v>
      </c>
      <c r="C11" s="5" t="str">
        <f>INDEX('1bezr.'!B3:G28,MATCH(8,B4:B29,0),1)</f>
        <v>stalowowolski</v>
      </c>
      <c r="D11" s="6">
        <f>INDEX('1bezr.'!B3:G28,MATCH(8,B4:B29,0),2)</f>
        <v>1959</v>
      </c>
      <c r="E11" s="42">
        <f>INDEX('1bezr.'!B3:G28,MATCH(8,B4:B29,0),3)</f>
        <v>2023</v>
      </c>
      <c r="F11" s="6">
        <f>INDEX('1bezr.'!B3:G28,MATCH(8,B4:B29,0),4)</f>
        <v>-64</v>
      </c>
      <c r="G11" s="42">
        <f>INDEX('1bezr.'!B3:G28,MATCH(8,B4:B29,0),5)</f>
        <v>1971</v>
      </c>
      <c r="H11" s="6">
        <f>INDEX('1bezr.'!B3:G28,MATCH(8,B4:B29,0),6)</f>
        <v>-12</v>
      </c>
      <c r="V11" s="6">
        <f>RANK('1bezr.'!E10,'1bezr.'!$E$3:'1bezr.'!$E$28,1)+COUNTIF('1bezr.'!$E$3:'1bezr.'!E10,'1bezr.'!E10)-1</f>
        <v>18</v>
      </c>
      <c r="W11" s="168" t="str">
        <f>INDEX('1bezr.'!B3:G28,MATCH(8,V4:V29,0),1)</f>
        <v>lubaczowski</v>
      </c>
      <c r="X11" s="161">
        <f>INDEX('1bezr.'!E3:G28,MATCH(8,V4:V29,0),1)</f>
        <v>-113</v>
      </c>
      <c r="Y11" s="167">
        <v>7</v>
      </c>
      <c r="Z11" s="2"/>
      <c r="AA11" s="6">
        <f>RANK('1bezr.'!C10,'1bezr.'!$C$3:'1bezr.'!$C$28,1)+COUNTIF('1bezr.'!$C$3:'1bezr.'!C10,'1bezr.'!C10)-1</f>
        <v>7</v>
      </c>
      <c r="AB11" s="160" t="str">
        <f>INDEX('1bezr.'!B3:G28,MATCH(18,AA4:AA29,0),1)</f>
        <v>leżajski</v>
      </c>
      <c r="AC11" s="161">
        <f>INDEX('1bezr.'!B3:K28,MATCH(18,AA4:AA29,0),2)</f>
        <v>3042</v>
      </c>
      <c r="AE11" s="6">
        <f>RANK('1bezr.'!C10,'1bezr.'!$C$3:'1bezr.'!$C$28,1)+COUNTIF('1bezr.'!$C$3:'1bezr.'!C10,'1bezr.'!C10)-1</f>
        <v>7</v>
      </c>
      <c r="AF11" s="160" t="str">
        <f>INDEX('1bezr.'!B3:G28,MATCH(8,AE4:AE29,0),1)</f>
        <v>stalowowolski</v>
      </c>
      <c r="AG11" s="161">
        <f>INDEX('1bezr.'!B3:K28,MATCH(8,AE4:AE29,0),2)</f>
        <v>1959</v>
      </c>
    </row>
    <row r="12" spans="2:33" x14ac:dyDescent="0.2">
      <c r="B12" s="6">
        <f>RANK('1bezr.'!C11,'1bezr.'!$C$3:'1bezr.'!$C$28,1)+COUNTIF('1bezr.'!$C$3:'1bezr.'!C11,'1bezr.'!C11)-1</f>
        <v>18</v>
      </c>
      <c r="C12" s="5" t="str">
        <f>INDEX('1bezr.'!B3:G28,MATCH(9,B4:B29,0),1)</f>
        <v>Przemyśl</v>
      </c>
      <c r="D12" s="6">
        <f>INDEX('1bezr.'!B3:G28,MATCH(9,B4:B29,0),2)</f>
        <v>2314</v>
      </c>
      <c r="E12" s="42">
        <f>INDEX('1bezr.'!B3:G28,MATCH(9,B4:B29,0),3)</f>
        <v>2357</v>
      </c>
      <c r="F12" s="6">
        <f>INDEX('1bezr.'!B3:G28,MATCH(9,B4:B29,0),4)</f>
        <v>-43</v>
      </c>
      <c r="G12" s="42">
        <f>INDEX('1bezr.'!B3:G28,MATCH(9,B4:B29,0),5)</f>
        <v>2492</v>
      </c>
      <c r="H12" s="6">
        <f>INDEX('1bezr.'!B3:G28,MATCH(9,B4:B29,0),6)</f>
        <v>-178</v>
      </c>
      <c r="V12" s="6">
        <f>RANK('1bezr.'!E11,'1bezr.'!$E$3:'1bezr.'!$E$28,1)+COUNTIF('1bezr.'!$E$3:'1bezr.'!E11,'1bezr.'!E11)-1</f>
        <v>12</v>
      </c>
      <c r="W12" s="168" t="str">
        <f>INDEX('1bezr.'!B3:G28,MATCH(9,V4:V29,0),1)</f>
        <v>łańcucki</v>
      </c>
      <c r="X12" s="161">
        <f>INDEX('1bezr.'!E3:G28,MATCH(9,V4:V29,0),1)</f>
        <v>-110</v>
      </c>
      <c r="Y12" s="167">
        <v>8</v>
      </c>
      <c r="Z12" s="2"/>
      <c r="AA12" s="6">
        <f>RANK('1bezr.'!C11,'1bezr.'!$C$3:'1bezr.'!$C$28,1)+COUNTIF('1bezr.'!$C$3:'1bezr.'!C11,'1bezr.'!C11)-1</f>
        <v>18</v>
      </c>
      <c r="AB12" s="160" t="str">
        <f>INDEX('1bezr.'!B3:G28,MATCH(17,AA4:AA29,0),1)</f>
        <v>niżański</v>
      </c>
      <c r="AC12" s="161">
        <f>INDEX('1bezr.'!B3:K28,MATCH(17,AA4:AA29,0),2)</f>
        <v>2937</v>
      </c>
      <c r="AE12" s="6">
        <f>RANK('1bezr.'!C11,'1bezr.'!$C$3:'1bezr.'!$C$28,1)+COUNTIF('1bezr.'!$C$3:'1bezr.'!C11,'1bezr.'!C11)-1</f>
        <v>18</v>
      </c>
      <c r="AF12" s="151" t="str">
        <f>INDEX('1bezr.'!B3:G28,MATCH(9,AE4:AE29,0),1)</f>
        <v>Przemyśl</v>
      </c>
      <c r="AG12" s="6">
        <f>INDEX('1bezr.'!B3:K28,MATCH(9,AE4:AE29,0),2)</f>
        <v>2314</v>
      </c>
    </row>
    <row r="13" spans="2:33" x14ac:dyDescent="0.2">
      <c r="B13" s="6">
        <f>RANK('1bezr.'!C12,'1bezr.'!$C$3:'1bezr.'!$C$28,1)+COUNTIF('1bezr.'!$C$3:'1bezr.'!C12,'1bezr.'!C12)-1</f>
        <v>6</v>
      </c>
      <c r="C13" s="5" t="str">
        <f>INDEX('1bezr.'!B3:G28,MATCH(10,B4:B29,0),1)</f>
        <v>krośnieński</v>
      </c>
      <c r="D13" s="6">
        <f>INDEX('1bezr.'!B3:G28,MATCH(10,B4:B29,0),2)</f>
        <v>2316</v>
      </c>
      <c r="E13" s="42">
        <f>INDEX('1bezr.'!B3:G28,MATCH(10,B4:B29,0),3)</f>
        <v>2407</v>
      </c>
      <c r="F13" s="6">
        <f>INDEX('1bezr.'!B3:G28,MATCH(10,B4:B29,0),4)</f>
        <v>-91</v>
      </c>
      <c r="G13" s="42">
        <f>INDEX('1bezr.'!B3:G28,MATCH(10,B4:B29,0),5)</f>
        <v>2194</v>
      </c>
      <c r="H13" s="6">
        <f>INDEX('1bezr.'!B3:G28,MATCH(10,B4:B29,0),6)</f>
        <v>122</v>
      </c>
      <c r="V13" s="6">
        <f>RANK('1bezr.'!E12,'1bezr.'!$E$3:'1bezr.'!$E$28,1)+COUNTIF('1bezr.'!$E$3:'1bezr.'!E12,'1bezr.'!E12)-1</f>
        <v>8</v>
      </c>
      <c r="W13" s="168" t="str">
        <f>INDEX('1bezr.'!B3:G28,MATCH(10,V4:V29,0),1)</f>
        <v>rzeszowski</v>
      </c>
      <c r="X13" s="161">
        <f>INDEX('1bezr.'!E3:G28,MATCH(10,V4:V29,0),1)</f>
        <v>-105</v>
      </c>
      <c r="Y13" s="167">
        <v>9</v>
      </c>
      <c r="Z13" s="132"/>
      <c r="AA13" s="6">
        <f>RANK('1bezr.'!C12,'1bezr.'!$C$3:'1bezr.'!$C$28,1)+COUNTIF('1bezr.'!$C$3:'1bezr.'!C12,'1bezr.'!C12)-1</f>
        <v>6</v>
      </c>
      <c r="AB13" s="160" t="str">
        <f>INDEX('1bezr.'!B3:G28,MATCH(16,AA4:AA29,0),1)</f>
        <v>mielecki</v>
      </c>
      <c r="AC13" s="161">
        <f>INDEX('1bezr.'!B3:K28,MATCH(16,AA4:AA29,0),2)</f>
        <v>2872</v>
      </c>
      <c r="AE13" s="6">
        <f>RANK('1bezr.'!C12,'1bezr.'!$C$3:'1bezr.'!$C$28,1)+COUNTIF('1bezr.'!$C$3:'1bezr.'!C12,'1bezr.'!C12)-1</f>
        <v>6</v>
      </c>
      <c r="AF13" s="151" t="str">
        <f>INDEX('1bezr.'!B3:G28,MATCH(10,AE4:AE29,0),1)</f>
        <v>krośnieński</v>
      </c>
      <c r="AG13" s="6">
        <f>INDEX('1bezr.'!B3:K28,MATCH(10,AE4:AE29,0),2)</f>
        <v>2316</v>
      </c>
    </row>
    <row r="14" spans="2:33" x14ac:dyDescent="0.2">
      <c r="B14" s="6">
        <f>RANK('1bezr.'!C13,'1bezr.'!$C$3:'1bezr.'!$C$28,1)+COUNTIF('1bezr.'!$C$3:'1bezr.'!C13,'1bezr.'!C13)-1</f>
        <v>12</v>
      </c>
      <c r="C14" s="5" t="str">
        <f>INDEX('1bezr.'!B3:G28,MATCH(11,B4:B29,0),1)</f>
        <v>dębicki</v>
      </c>
      <c r="D14" s="6">
        <f>INDEX('1bezr.'!B3:G28,MATCH(11,B4:B29,0),2)</f>
        <v>2394</v>
      </c>
      <c r="E14" s="42">
        <f>INDEX('1bezr.'!B3:G28,MATCH(11,B4:B29,0),3)</f>
        <v>2517</v>
      </c>
      <c r="F14" s="6">
        <f>INDEX('1bezr.'!B3:G28,MATCH(11,B4:B29,0),4)</f>
        <v>-123</v>
      </c>
      <c r="G14" s="42">
        <f>INDEX('1bezr.'!B3:G28,MATCH(11,B4:B29,0),5)</f>
        <v>2452</v>
      </c>
      <c r="H14" s="6">
        <f>INDEX('1bezr.'!B3:G28,MATCH(11,B4:B29,0),6)</f>
        <v>-58</v>
      </c>
      <c r="V14" s="6">
        <f>RANK('1bezr.'!E13,'1bezr.'!$E$3:'1bezr.'!$E$28,1)+COUNTIF('1bezr.'!$E$3:'1bezr.'!E13,'1bezr.'!E13)-1</f>
        <v>9</v>
      </c>
      <c r="W14" s="168" t="str">
        <f>INDEX('1bezr.'!B3:G28,MATCH(11,V4:V29,0),1)</f>
        <v>krośnieński</v>
      </c>
      <c r="X14" s="161">
        <f>INDEX('1bezr.'!E3:G28,MATCH(11,V4:V29,0),1)</f>
        <v>-91</v>
      </c>
      <c r="Y14" s="167">
        <v>10</v>
      </c>
      <c r="Z14" s="2"/>
      <c r="AA14" s="6">
        <f>RANK('1bezr.'!C13,'1bezr.'!$C$3:'1bezr.'!$C$28,1)+COUNTIF('1bezr.'!$C$3:'1bezr.'!C13,'1bezr.'!C13)-1</f>
        <v>12</v>
      </c>
      <c r="AB14" s="160" t="str">
        <f>INDEX('1bezr.'!B3:G28,MATCH(15,AA4:AA29,0),1)</f>
        <v>przemyski</v>
      </c>
      <c r="AC14" s="161">
        <f>INDEX('1bezr.'!B3:K28,MATCH(15,AA4:AA29,0),2)</f>
        <v>2792</v>
      </c>
      <c r="AE14" s="6">
        <f>RANK('1bezr.'!C13,'1bezr.'!$C$3:'1bezr.'!$C$28,1)+COUNTIF('1bezr.'!$C$3:'1bezr.'!C13,'1bezr.'!C13)-1</f>
        <v>12</v>
      </c>
      <c r="AF14" s="151" t="str">
        <f>INDEX('1bezr.'!B3:G28,MATCH(11,AE4:AE29,0),1)</f>
        <v>dębicki</v>
      </c>
      <c r="AG14" s="6">
        <f>INDEX('1bezr.'!B3:K28,MATCH(11,AE4:AE29,0),2)</f>
        <v>2394</v>
      </c>
    </row>
    <row r="15" spans="2:33" x14ac:dyDescent="0.2">
      <c r="B15" s="6">
        <f>RANK('1bezr.'!C14,'1bezr.'!$C$3:'1bezr.'!$C$28,1)+COUNTIF('1bezr.'!$C$3:'1bezr.'!C14,'1bezr.'!C14)-1</f>
        <v>16</v>
      </c>
      <c r="C15" s="5" t="str">
        <f>INDEX('1bezr.'!B3:G28,MATCH(12,B4:B29,0),1)</f>
        <v>łańcucki</v>
      </c>
      <c r="D15" s="6">
        <f>INDEX('1bezr.'!B3:G28,MATCH(12,B4:B29,0),2)</f>
        <v>2501</v>
      </c>
      <c r="E15" s="42">
        <f>INDEX('1bezr.'!B3:G28,MATCH(12,B4:B29,0),3)</f>
        <v>2611</v>
      </c>
      <c r="F15" s="6">
        <f>INDEX('1bezr.'!B3:G28,MATCH(12,B4:B29,0),4)</f>
        <v>-110</v>
      </c>
      <c r="G15" s="42">
        <f>INDEX('1bezr.'!B3:G28,MATCH(12,B4:B29,0),5)</f>
        <v>2601</v>
      </c>
      <c r="H15" s="6">
        <f>INDEX('1bezr.'!B3:G28,MATCH(12,B4:B29,0),6)</f>
        <v>-100</v>
      </c>
      <c r="V15" s="6">
        <f>RANK('1bezr.'!E14,'1bezr.'!$E$3:'1bezr.'!$E$28,1)+COUNTIF('1bezr.'!$E$3:'1bezr.'!E14,'1bezr.'!E14)-1</f>
        <v>13</v>
      </c>
      <c r="W15" s="168" t="str">
        <f>INDEX('1bezr.'!B3:G28,MATCH(12,V4:V29,0),1)</f>
        <v>leżajski</v>
      </c>
      <c r="X15" s="161">
        <f>INDEX('1bezr.'!E3:G28,MATCH(12,V4:V29,0),1)</f>
        <v>-86</v>
      </c>
      <c r="Y15" s="167">
        <v>11</v>
      </c>
      <c r="Z15" s="2"/>
      <c r="AA15" s="6">
        <f>RANK('1bezr.'!C14,'1bezr.'!$C$3:'1bezr.'!$C$28,1)+COUNTIF('1bezr.'!$C$3:'1bezr.'!C14,'1bezr.'!C14)-1</f>
        <v>16</v>
      </c>
      <c r="AB15" s="160" t="str">
        <f>INDEX('1bezr.'!B3:G28,MATCH(14,AA4:AA29,0),1)</f>
        <v>sanocki</v>
      </c>
      <c r="AC15" s="161">
        <f>INDEX('1bezr.'!B3:K28,MATCH(14,AA4:AA29,0),2)</f>
        <v>2728</v>
      </c>
      <c r="AE15" s="6">
        <f>RANK('1bezr.'!C14,'1bezr.'!$C$3:'1bezr.'!$C$28,1)+COUNTIF('1bezr.'!$C$3:'1bezr.'!C14,'1bezr.'!C14)-1</f>
        <v>16</v>
      </c>
      <c r="AF15" s="151" t="str">
        <f>INDEX('1bezr.'!B3:G28,MATCH(12,AE4:AE29,0),1)</f>
        <v>łańcucki</v>
      </c>
      <c r="AG15" s="6">
        <f>INDEX('1bezr.'!B3:K28,MATCH(12,AE4:AE29,0),2)</f>
        <v>2501</v>
      </c>
    </row>
    <row r="16" spans="2:33" x14ac:dyDescent="0.2">
      <c r="B16" s="6">
        <f>RANK('1bezr.'!C15,'1bezr.'!$C$3:'1bezr.'!$C$28,1)+COUNTIF('1bezr.'!$C$3:'1bezr.'!C15,'1bezr.'!C15)-1</f>
        <v>17</v>
      </c>
      <c r="C16" s="5" t="str">
        <f>INDEX('1bezr.'!B3:G28,MATCH(13,B4:B29,0),1)</f>
        <v>ropczycko-sędziszowski</v>
      </c>
      <c r="D16" s="6">
        <f>INDEX('1bezr.'!B3:G28,MATCH(13,B4:B29,0),2)</f>
        <v>2695</v>
      </c>
      <c r="E16" s="42">
        <f>INDEX('1bezr.'!B3:G28,MATCH(13,B4:B29,0),3)</f>
        <v>2609</v>
      </c>
      <c r="F16" s="6">
        <f>INDEX('1bezr.'!B3:G28,MATCH(13,B4:B29,0),4)</f>
        <v>86</v>
      </c>
      <c r="G16" s="42">
        <f>INDEX('1bezr.'!B3:G28,MATCH(13,B4:B29,0),5)</f>
        <v>2652</v>
      </c>
      <c r="H16" s="6">
        <f>INDEX('1bezr.'!B3:G28,MATCH(13,B4:B29,0),6)</f>
        <v>43</v>
      </c>
      <c r="V16" s="6">
        <f>RANK('1bezr.'!E15,'1bezr.'!$E$3:'1bezr.'!$E$28,1)+COUNTIF('1bezr.'!$E$3:'1bezr.'!E15,'1bezr.'!E15)-1</f>
        <v>19</v>
      </c>
      <c r="W16" s="168" t="str">
        <f>INDEX('1bezr.'!B3:G28,MATCH(13,V4:V29,0),1)</f>
        <v>mielecki</v>
      </c>
      <c r="X16" s="161">
        <f>INDEX('1bezr.'!E3:G28,MATCH(13,V4:V29,0),1)</f>
        <v>-76</v>
      </c>
      <c r="Y16" s="167">
        <v>12</v>
      </c>
      <c r="Z16" s="2"/>
      <c r="AA16" s="6">
        <f>RANK('1bezr.'!C15,'1bezr.'!$C$3:'1bezr.'!$C$28,1)+COUNTIF('1bezr.'!$C$3:'1bezr.'!C15,'1bezr.'!C15)-1</f>
        <v>17</v>
      </c>
      <c r="AB16" s="160" t="str">
        <f>INDEX('1bezr.'!B3:G28,MATCH(13,AA4:AA29,0),1)</f>
        <v>ropczycko-sędziszowski</v>
      </c>
      <c r="AC16" s="161">
        <f>INDEX('1bezr.'!B3:K28,MATCH(13,AA4:AA29,0),2)</f>
        <v>2695</v>
      </c>
      <c r="AE16" s="6">
        <f>RANK('1bezr.'!C15,'1bezr.'!$C$3:'1bezr.'!$C$28,1)+COUNTIF('1bezr.'!$C$3:'1bezr.'!C15,'1bezr.'!C15)-1</f>
        <v>17</v>
      </c>
      <c r="AF16" s="151" t="str">
        <f>INDEX('1bezr.'!B3:G28,MATCH(13,AE4:AE29,0),1)</f>
        <v>ropczycko-sędziszowski</v>
      </c>
      <c r="AG16" s="6">
        <f>INDEX('1bezr.'!B3:K28,MATCH(13,AE4:AE29,0),2)</f>
        <v>2695</v>
      </c>
    </row>
    <row r="17" spans="2:33" x14ac:dyDescent="0.2">
      <c r="B17" s="6">
        <f>RANK('1bezr.'!C16,'1bezr.'!$C$3:'1bezr.'!$C$28,1)+COUNTIF('1bezr.'!$C$3:'1bezr.'!C16,'1bezr.'!C16)-1</f>
        <v>15</v>
      </c>
      <c r="C17" s="5" t="str">
        <f>INDEX('1bezr.'!B3:G28,MATCH(14,B4:B29,0),1)</f>
        <v>sanocki</v>
      </c>
      <c r="D17" s="6">
        <f>INDEX('1bezr.'!B3:G28,MATCH(14,B4:B29,0),2)</f>
        <v>2728</v>
      </c>
      <c r="E17" s="42">
        <f>INDEX('1bezr.'!B3:G28,MATCH(14,B4:B29,0),3)</f>
        <v>2883</v>
      </c>
      <c r="F17" s="6">
        <f>INDEX('1bezr.'!B3:G28,MATCH(14,B4:B29,0),4)</f>
        <v>-155</v>
      </c>
      <c r="G17" s="42">
        <f>INDEX('1bezr.'!B3:G28,MATCH(14,B4:B29,0),5)</f>
        <v>2757</v>
      </c>
      <c r="H17" s="6">
        <f>INDEX('1bezr.'!B3:G28,MATCH(14,B4:B29,0),6)</f>
        <v>-29</v>
      </c>
      <c r="V17" s="6">
        <f>RANK('1bezr.'!E16,'1bezr.'!$E$3:'1bezr.'!$E$28,1)+COUNTIF('1bezr.'!$E$3:'1bezr.'!E16,'1bezr.'!E16)-1</f>
        <v>6</v>
      </c>
      <c r="W17" s="168" t="str">
        <f>INDEX('1bezr.'!B3:G28,MATCH(14,V4:V29,0),1)</f>
        <v>Rzeszów</v>
      </c>
      <c r="X17" s="161">
        <f>INDEX('1bezr.'!E3:G28,MATCH(14,V4:V29,0),1)</f>
        <v>-75</v>
      </c>
      <c r="Y17" s="167">
        <v>13</v>
      </c>
      <c r="Z17" s="2"/>
      <c r="AA17" s="6">
        <f>RANK('1bezr.'!C16,'1bezr.'!$C$3:'1bezr.'!$C$28,1)+COUNTIF('1bezr.'!$C$3:'1bezr.'!C16,'1bezr.'!C16)-1</f>
        <v>15</v>
      </c>
      <c r="AB17" s="160" t="str">
        <f>INDEX('1bezr.'!B3:G28,MATCH(12,AA4:AA29,0),1)</f>
        <v>łańcucki</v>
      </c>
      <c r="AC17" s="161">
        <f>INDEX('1bezr.'!B3:K28,MATCH(12,AA4:AA29,0),2)</f>
        <v>2501</v>
      </c>
      <c r="AE17" s="6">
        <f>RANK('1bezr.'!C16,'1bezr.'!$C$3:'1bezr.'!$C$28,1)+COUNTIF('1bezr.'!$C$3:'1bezr.'!C16,'1bezr.'!C16)-1</f>
        <v>15</v>
      </c>
      <c r="AF17" s="151" t="str">
        <f>INDEX('1bezr.'!B3:G28,MATCH(14,AE4:AE29,0),1)</f>
        <v>sanocki</v>
      </c>
      <c r="AG17" s="6">
        <f>INDEX('1bezr.'!B3:K28,MATCH(14,AE4:AE29,0),2)</f>
        <v>2728</v>
      </c>
    </row>
    <row r="18" spans="2:33" x14ac:dyDescent="0.2">
      <c r="B18" s="6">
        <f>RANK('1bezr.'!C17,'1bezr.'!$C$3:'1bezr.'!$C$28,1)+COUNTIF('1bezr.'!$C$3:'1bezr.'!C17,'1bezr.'!C17)-1</f>
        <v>20</v>
      </c>
      <c r="C18" s="5" t="str">
        <f>INDEX('1bezr.'!B3:G28,MATCH(15,B4:B29,0),1)</f>
        <v>przemyski</v>
      </c>
      <c r="D18" s="6">
        <f>INDEX('1bezr.'!B3:G28,MATCH(15,B4:B29,0),2)</f>
        <v>2792</v>
      </c>
      <c r="E18" s="42">
        <f>INDEX('1bezr.'!B3:G28,MATCH(15,B4:B29,0),3)</f>
        <v>2935</v>
      </c>
      <c r="F18" s="6">
        <f>INDEX('1bezr.'!B3:G28,MATCH(15,B4:B29,0),4)</f>
        <v>-143</v>
      </c>
      <c r="G18" s="42">
        <f>INDEX('1bezr.'!B3:G28,MATCH(15,B4:B29,0),5)</f>
        <v>2947</v>
      </c>
      <c r="H18" s="6">
        <f>INDEX('1bezr.'!B3:G28,MATCH(15,B4:B29,0),6)</f>
        <v>-155</v>
      </c>
      <c r="V18" s="6">
        <f>RANK('1bezr.'!E17,'1bezr.'!$E$3:'1bezr.'!$E$28,1)+COUNTIF('1bezr.'!$E$3:'1bezr.'!E17,'1bezr.'!E17)-1</f>
        <v>23</v>
      </c>
      <c r="W18" s="168" t="str">
        <f>INDEX('1bezr.'!B3:G28,MATCH(15,V4:V29,0),1)</f>
        <v>strzyżowski</v>
      </c>
      <c r="X18" s="161">
        <f>INDEX('1bezr.'!E3:G28,MATCH(15,V4:V29,0),1)</f>
        <v>-74</v>
      </c>
      <c r="Y18" s="167">
        <v>14</v>
      </c>
      <c r="Z18" s="2"/>
      <c r="AA18" s="6">
        <f>RANK('1bezr.'!C17,'1bezr.'!$C$3:'1bezr.'!$C$28,1)+COUNTIF('1bezr.'!$C$3:'1bezr.'!C17,'1bezr.'!C17)-1</f>
        <v>20</v>
      </c>
      <c r="AB18" s="160" t="str">
        <f>INDEX('1bezr.'!B3:G28,MATCH(11,AA4:AA29,0),1)</f>
        <v>dębicki</v>
      </c>
      <c r="AC18" s="161">
        <f>INDEX('1bezr.'!B3:K28,MATCH(11,AA4:AA29,0),2)</f>
        <v>2394</v>
      </c>
      <c r="AE18" s="6">
        <f>RANK('1bezr.'!C17,'1bezr.'!$C$3:'1bezr.'!$C$28,1)+COUNTIF('1bezr.'!$C$3:'1bezr.'!C17,'1bezr.'!C17)-1</f>
        <v>20</v>
      </c>
      <c r="AF18" s="151" t="str">
        <f>INDEX('1bezr.'!B3:G28,MATCH(15,AE4:AE29,0),1)</f>
        <v>przemyski</v>
      </c>
      <c r="AG18" s="6">
        <f>INDEX('1bezr.'!B3:K28,MATCH(15,AE4:AE29,0),2)</f>
        <v>2792</v>
      </c>
    </row>
    <row r="19" spans="2:33" x14ac:dyDescent="0.2">
      <c r="B19" s="6">
        <f>RANK('1bezr.'!C18,'1bezr.'!$C$3:'1bezr.'!$C$28,1)+COUNTIF('1bezr.'!$C$3:'1bezr.'!C18,'1bezr.'!C18)-1</f>
        <v>13</v>
      </c>
      <c r="C19" s="5" t="str">
        <f>INDEX('1bezr.'!B3:G28,MATCH(16,B4:B29,0),1)</f>
        <v>mielecki</v>
      </c>
      <c r="D19" s="6">
        <f>INDEX('1bezr.'!B3:G28,MATCH(16,B4:B29,0),2)</f>
        <v>2872</v>
      </c>
      <c r="E19" s="42">
        <f>INDEX('1bezr.'!B3:G28,MATCH(16,B4:B29,0),3)</f>
        <v>2948</v>
      </c>
      <c r="F19" s="6">
        <f>INDEX('1bezr.'!B3:G28,MATCH(16,B4:B29,0),4)</f>
        <v>-76</v>
      </c>
      <c r="G19" s="42">
        <f>INDEX('1bezr.'!B3:G28,MATCH(16,B4:B29,0),5)</f>
        <v>2740</v>
      </c>
      <c r="H19" s="6">
        <f>INDEX('1bezr.'!B3:G28,MATCH(16,B4:B29,0),6)</f>
        <v>132</v>
      </c>
      <c r="V19" s="6">
        <f>RANK('1bezr.'!E18,'1bezr.'!$E$3:'1bezr.'!$E$28,1)+COUNTIF('1bezr.'!$E$3:'1bezr.'!E18,'1bezr.'!E18)-1</f>
        <v>26</v>
      </c>
      <c r="W19" s="168" t="str">
        <f>INDEX('1bezr.'!B3:G28,MATCH(16,V4:V29,0),1)</f>
        <v xml:space="preserve">tarnobrzeski </v>
      </c>
      <c r="X19" s="161">
        <f>INDEX('1bezr.'!E3:G28,MATCH(16,V4:V29,0),1)</f>
        <v>-70</v>
      </c>
      <c r="Y19" s="167">
        <v>15</v>
      </c>
      <c r="Z19" s="2"/>
      <c r="AA19" s="6">
        <f>RANK('1bezr.'!C18,'1bezr.'!$C$3:'1bezr.'!$C$28,1)+COUNTIF('1bezr.'!$C$3:'1bezr.'!C18,'1bezr.'!C18)-1</f>
        <v>13</v>
      </c>
      <c r="AB19" s="160" t="str">
        <f>INDEX('1bezr.'!B3:G28,MATCH(10,AA4:AA29,0),1)</f>
        <v>krośnieński</v>
      </c>
      <c r="AC19" s="161">
        <f>INDEX('1bezr.'!B3:K28,MATCH(10,AA4:AA29,0),2)</f>
        <v>2316</v>
      </c>
      <c r="AE19" s="6">
        <f>RANK('1bezr.'!C18,'1bezr.'!$C$3:'1bezr.'!$C$28,1)+COUNTIF('1bezr.'!$C$3:'1bezr.'!C18,'1bezr.'!C18)-1</f>
        <v>13</v>
      </c>
      <c r="AF19" s="151" t="str">
        <f>INDEX('1bezr.'!B3:G28,MATCH(16,AE4:AE29,0),1)</f>
        <v>mielecki</v>
      </c>
      <c r="AG19" s="6">
        <f>INDEX('1bezr.'!B3:K28,MATCH(16,AE4:AE29,0),2)</f>
        <v>2872</v>
      </c>
    </row>
    <row r="20" spans="2:33" x14ac:dyDescent="0.2">
      <c r="B20" s="6">
        <f>RANK('1bezr.'!C19,'1bezr.'!$C$3:'1bezr.'!$C$28,1)+COUNTIF('1bezr.'!$C$3:'1bezr.'!C19,'1bezr.'!C19)-1</f>
        <v>23</v>
      </c>
      <c r="C20" s="5" t="str">
        <f>INDEX('1bezr.'!B3:G28,MATCH(17,B4:B29,0),1)</f>
        <v>niżański</v>
      </c>
      <c r="D20" s="6">
        <f>INDEX('1bezr.'!B3:G28,MATCH(17,B4:B29,0),2)</f>
        <v>2937</v>
      </c>
      <c r="E20" s="42">
        <f>INDEX('1bezr.'!B3:G28,MATCH(17,B4:B29,0),3)</f>
        <v>2984</v>
      </c>
      <c r="F20" s="6">
        <f>INDEX('1bezr.'!B3:G28,MATCH(17,B4:B29,0),4)</f>
        <v>-47</v>
      </c>
      <c r="G20" s="42">
        <f>INDEX('1bezr.'!B3:G28,MATCH(17,B4:B29,0),5)</f>
        <v>3105</v>
      </c>
      <c r="H20" s="6">
        <f>INDEX('1bezr.'!B3:G28,MATCH(17,B4:B29,0),6)</f>
        <v>-168</v>
      </c>
      <c r="V20" s="6">
        <f>RANK('1bezr.'!E19,'1bezr.'!$E$3:'1bezr.'!$E$28,1)+COUNTIF('1bezr.'!$E$3:'1bezr.'!E19,'1bezr.'!E19)-1</f>
        <v>10</v>
      </c>
      <c r="W20" s="168" t="str">
        <f>INDEX('1bezr.'!B3:G28,MATCH(17,V4:V29,0),1)</f>
        <v>stalowowolski</v>
      </c>
      <c r="X20" s="161">
        <f>INDEX('1bezr.'!E3:G28,MATCH(17,V4:V29,0),1)</f>
        <v>-64</v>
      </c>
      <c r="Y20" s="167">
        <v>16</v>
      </c>
      <c r="Z20" s="2"/>
      <c r="AA20" s="6">
        <f>RANK('1bezr.'!C19,'1bezr.'!$C$3:'1bezr.'!$C$28,1)+COUNTIF('1bezr.'!$C$3:'1bezr.'!C19,'1bezr.'!C19)-1</f>
        <v>23</v>
      </c>
      <c r="AB20" s="160" t="str">
        <f>INDEX('1bezr.'!B3:G28,MATCH(9,AA4:AA29,0),1)</f>
        <v>Przemyśl</v>
      </c>
      <c r="AC20" s="161">
        <f>INDEX('1bezr.'!B3:K28,MATCH(9,AA4:AA29,0),2)</f>
        <v>2314</v>
      </c>
      <c r="AE20" s="6">
        <f>RANK('1bezr.'!C19,'1bezr.'!$C$3:'1bezr.'!$C$28,1)+COUNTIF('1bezr.'!$C$3:'1bezr.'!C19,'1bezr.'!C19)-1</f>
        <v>23</v>
      </c>
      <c r="AF20" s="151" t="str">
        <f>INDEX('1bezr.'!B3:G28,MATCH(17,AE4:AE29,0),1)</f>
        <v>niżański</v>
      </c>
      <c r="AG20" s="6">
        <f>INDEX('1bezr.'!B3:K28,MATCH(17,AE4:AE29,0),2)</f>
        <v>2937</v>
      </c>
    </row>
    <row r="21" spans="2:33" x14ac:dyDescent="0.2">
      <c r="B21" s="6">
        <f>RANK('1bezr.'!C20,'1bezr.'!$C$3:'1bezr.'!$C$28,1)+COUNTIF('1bezr.'!$C$3:'1bezr.'!C20,'1bezr.'!C20)-1</f>
        <v>14</v>
      </c>
      <c r="C21" s="5" t="str">
        <f>INDEX('1bezr.'!B3:G28,MATCH(18,B4:B29,0),1)</f>
        <v>leżajski</v>
      </c>
      <c r="D21" s="6">
        <f>INDEX('1bezr.'!B3:G28,MATCH(18,B4:B29,0),2)</f>
        <v>3042</v>
      </c>
      <c r="E21" s="42">
        <f>INDEX('1bezr.'!B3:G28,MATCH(18,B4:B29,0),3)</f>
        <v>3128</v>
      </c>
      <c r="F21" s="6">
        <f>INDEX('1bezr.'!B3:G28,MATCH(18,B4:B29,0),4)</f>
        <v>-86</v>
      </c>
      <c r="G21" s="42">
        <f>INDEX('1bezr.'!B3:G28,MATCH(18,B4:B29,0),5)</f>
        <v>3181</v>
      </c>
      <c r="H21" s="6">
        <f>INDEX('1bezr.'!B3:G28,MATCH(18,B4:B29,0),6)</f>
        <v>-139</v>
      </c>
      <c r="V21" s="6">
        <f>RANK('1bezr.'!E20,'1bezr.'!$E$3:'1bezr.'!$E$28,1)+COUNTIF('1bezr.'!$E$3:'1bezr.'!E20,'1bezr.'!E20)-1</f>
        <v>5</v>
      </c>
      <c r="W21" s="168" t="str">
        <f>INDEX('1bezr.'!B3:G28,MATCH(18,V4:V29,0),1)</f>
        <v>leski</v>
      </c>
      <c r="X21" s="161">
        <f>INDEX('1bezr.'!E3:G28,MATCH(18,V4:V29,0),1)</f>
        <v>-57</v>
      </c>
      <c r="Y21" s="167">
        <v>17</v>
      </c>
      <c r="Z21" s="2"/>
      <c r="AA21" s="6">
        <f>RANK('1bezr.'!C20,'1bezr.'!$C$3:'1bezr.'!$C$28,1)+COUNTIF('1bezr.'!$C$3:'1bezr.'!C20,'1bezr.'!C20)-1</f>
        <v>14</v>
      </c>
      <c r="AB21" s="151" t="str">
        <f>INDEX('1bezr.'!B3:G28,MATCH(8,AA4:AA29,0),1)</f>
        <v>stalowowolski</v>
      </c>
      <c r="AC21" s="6">
        <f>INDEX('1bezr.'!B3:K28,MATCH(8,AA4:AA29,0),2)</f>
        <v>1959</v>
      </c>
      <c r="AE21" s="6">
        <f>RANK('1bezr.'!C20,'1bezr.'!$C$3:'1bezr.'!$C$28,1)+COUNTIF('1bezr.'!$C$3:'1bezr.'!C20,'1bezr.'!C20)-1</f>
        <v>14</v>
      </c>
      <c r="AF21" s="151" t="str">
        <f>INDEX('1bezr.'!B3:G28,MATCH(18,AE4:AE29,0),1)</f>
        <v>leżajski</v>
      </c>
      <c r="AG21" s="6">
        <f>INDEX('1bezr.'!B3:K28,MATCH(18,AE4:AE29,0),2)</f>
        <v>3042</v>
      </c>
    </row>
    <row r="22" spans="2:33" x14ac:dyDescent="0.2">
      <c r="B22" s="6">
        <f>RANK('1bezr.'!C21,'1bezr.'!$C$3:'1bezr.'!$C$28,1)+COUNTIF('1bezr.'!$C$3:'1bezr.'!C21,'1bezr.'!C21)-1</f>
        <v>8</v>
      </c>
      <c r="C22" s="5" t="str">
        <f>INDEX('1bezr.'!B3:G28,MATCH(19,B4:B29,0),1)</f>
        <v>strzyżowski</v>
      </c>
      <c r="D22" s="6">
        <f>INDEX('1bezr.'!B3:G28,MATCH(19,B4:B29,0),2)</f>
        <v>3059</v>
      </c>
      <c r="E22" s="42">
        <f>INDEX('1bezr.'!B3:G28,MATCH(19,B4:B29,0),3)</f>
        <v>3133</v>
      </c>
      <c r="F22" s="6">
        <f>INDEX('1bezr.'!B3:G28,MATCH(19,B4:B29,0),4)</f>
        <v>-74</v>
      </c>
      <c r="G22" s="42">
        <f>INDEX('1bezr.'!B3:G28,MATCH(19,B4:B29,0),5)</f>
        <v>3195</v>
      </c>
      <c r="H22" s="6">
        <f>INDEX('1bezr.'!B3:G28,MATCH(19,B4:B29,0),6)</f>
        <v>-136</v>
      </c>
      <c r="V22" s="6">
        <f>RANK('1bezr.'!E21,'1bezr.'!$E$3:'1bezr.'!$E$28,1)+COUNTIF('1bezr.'!$E$3:'1bezr.'!E21,'1bezr.'!E21)-1</f>
        <v>17</v>
      </c>
      <c r="W22" s="168" t="str">
        <f>INDEX('1bezr.'!B3:G28,MATCH(19,V4:V29,0),1)</f>
        <v>niżański</v>
      </c>
      <c r="X22" s="161">
        <f>INDEX('1bezr.'!E3:G28,MATCH(19,V4:V29,0),1)</f>
        <v>-47</v>
      </c>
      <c r="Y22" s="167">
        <v>18</v>
      </c>
      <c r="Z22" s="2"/>
      <c r="AA22" s="6">
        <f>RANK('1bezr.'!C21,'1bezr.'!$C$3:'1bezr.'!$C$28,1)+COUNTIF('1bezr.'!$C$3:'1bezr.'!C21,'1bezr.'!C21)-1</f>
        <v>8</v>
      </c>
      <c r="AB22" s="151" t="str">
        <f>INDEX('1bezr.'!B3:G28,MATCH(7,AA4:AA29,0),1)</f>
        <v>leski</v>
      </c>
      <c r="AC22" s="6">
        <f>INDEX('1bezr.'!B3:K28,MATCH(7,AA4:AA29,0),2)</f>
        <v>1676</v>
      </c>
      <c r="AE22" s="6">
        <f>RANK('1bezr.'!C21,'1bezr.'!$C$3:'1bezr.'!$C$28,1)+COUNTIF('1bezr.'!$C$3:'1bezr.'!C21,'1bezr.'!C21)-1</f>
        <v>8</v>
      </c>
      <c r="AF22" s="151" t="str">
        <f>INDEX('1bezr.'!B3:G28,MATCH(19,AE4:AE29,0),1)</f>
        <v>strzyżowski</v>
      </c>
      <c r="AG22" s="6">
        <f>INDEX('1bezr.'!B3:K28,MATCH(19,AE4:AE29,0),2)</f>
        <v>3059</v>
      </c>
    </row>
    <row r="23" spans="2:33" x14ac:dyDescent="0.2">
      <c r="B23" s="6">
        <f>RANK('1bezr.'!C22,'1bezr.'!$C$3:'1bezr.'!$C$28,1)+COUNTIF('1bezr.'!$C$3:'1bezr.'!C22,'1bezr.'!C22)-1</f>
        <v>19</v>
      </c>
      <c r="C23" s="5" t="str">
        <f>INDEX('1bezr.'!B3:G28,MATCH(20,B4:B29,0),1)</f>
        <v>przeworski</v>
      </c>
      <c r="D23" s="6">
        <f>INDEX('1bezr.'!B3:G28,MATCH(20,B4:B29,0),2)</f>
        <v>3160</v>
      </c>
      <c r="E23" s="42">
        <f>INDEX('1bezr.'!B3:G28,MATCH(20,B4:B29,0),3)</f>
        <v>3199</v>
      </c>
      <c r="F23" s="6">
        <f>INDEX('1bezr.'!B3:G28,MATCH(20,B4:B29,0),4)</f>
        <v>-39</v>
      </c>
      <c r="G23" s="42">
        <f>INDEX('1bezr.'!B3:G28,MATCH(20,B4:B29,0),5)</f>
        <v>3492</v>
      </c>
      <c r="H23" s="6">
        <f>INDEX('1bezr.'!B3:G28,MATCH(20,B4:B29,0),6)</f>
        <v>-332</v>
      </c>
      <c r="V23" s="6">
        <f>RANK('1bezr.'!E22,'1bezr.'!$E$3:'1bezr.'!$E$28,1)+COUNTIF('1bezr.'!$E$3:'1bezr.'!E22,'1bezr.'!E22)-1</f>
        <v>15</v>
      </c>
      <c r="W23" s="168" t="str">
        <f>INDEX('1bezr.'!B3:G28,MATCH(20,V4:V29,0),1)</f>
        <v>kolbuszowski</v>
      </c>
      <c r="X23" s="161">
        <f>INDEX('1bezr.'!E3:G28,MATCH(20,V4:V29,0),1)</f>
        <v>-46</v>
      </c>
      <c r="Y23" s="167">
        <v>19</v>
      </c>
      <c r="Z23" s="2"/>
      <c r="AA23" s="6">
        <f>RANK('1bezr.'!C22,'1bezr.'!$C$3:'1bezr.'!$C$28,1)+COUNTIF('1bezr.'!$C$3:'1bezr.'!C22,'1bezr.'!C22)-1</f>
        <v>19</v>
      </c>
      <c r="AB23" s="151" t="str">
        <f>INDEX('1bezr.'!B3:G28,MATCH(6,AA4:AA29,0),1)</f>
        <v>lubaczowski</v>
      </c>
      <c r="AC23" s="6">
        <f>INDEX('1bezr.'!B3:K28,MATCH(6,AA4:AA29,0),2)</f>
        <v>1656</v>
      </c>
      <c r="AE23" s="6">
        <f>RANK('1bezr.'!C22,'1bezr.'!$C$3:'1bezr.'!$C$28,1)+COUNTIF('1bezr.'!$C$3:'1bezr.'!C22,'1bezr.'!C22)-1</f>
        <v>19</v>
      </c>
      <c r="AF23" s="151" t="str">
        <f>INDEX('1bezr.'!B3:G28,MATCH(20,AE4:AE29,0),1)</f>
        <v>przeworski</v>
      </c>
      <c r="AG23" s="6">
        <f>INDEX('1bezr.'!B3:K28,MATCH(20,AE4:AE29,0),2)</f>
        <v>3160</v>
      </c>
    </row>
    <row r="24" spans="2:33" x14ac:dyDescent="0.2">
      <c r="B24" s="6">
        <f>RANK('1bezr.'!C23,'1bezr.'!$C$3:'1bezr.'!$C$28,1)+COUNTIF('1bezr.'!$C$3:'1bezr.'!C23,'1bezr.'!C23)-1</f>
        <v>4</v>
      </c>
      <c r="C24" s="5" t="str">
        <f>INDEX('1bezr.'!B3:G28,MATCH(21,B4:B29,0),1)</f>
        <v>brzozowski</v>
      </c>
      <c r="D24" s="6">
        <f>INDEX('1bezr.'!B3:G28,MATCH(21,B4:B29,0),2)</f>
        <v>3585</v>
      </c>
      <c r="E24" s="42">
        <f>INDEX('1bezr.'!B3:G28,MATCH(21,B4:B29,0),3)</f>
        <v>3778</v>
      </c>
      <c r="F24" s="6">
        <f>INDEX('1bezr.'!B3:G28,MATCH(21,B4:B29,0),4)</f>
        <v>-193</v>
      </c>
      <c r="G24" s="42">
        <f>INDEX('1bezr.'!B3:G28,MATCH(21,B4:B29,0),5)</f>
        <v>3809</v>
      </c>
      <c r="H24" s="6">
        <f>INDEX('1bezr.'!B3:G28,MATCH(21,B4:B29,0),6)</f>
        <v>-224</v>
      </c>
      <c r="V24" s="6">
        <f>RANK('1bezr.'!E23,'1bezr.'!$E$3:'1bezr.'!$E$28,1)+COUNTIF('1bezr.'!$E$3:'1bezr.'!E23,'1bezr.'!E23)-1</f>
        <v>16</v>
      </c>
      <c r="W24" s="168" t="str">
        <f>INDEX('1bezr.'!B3:G28,MATCH(21,V4:V29,0),1)</f>
        <v>bieszczadzki</v>
      </c>
      <c r="X24" s="161">
        <f>INDEX('1bezr.'!E3:G28,MATCH(21,V4:V29,0),1)</f>
        <v>-43</v>
      </c>
      <c r="Y24" s="167">
        <v>20</v>
      </c>
      <c r="Z24" s="2"/>
      <c r="AA24" s="6">
        <f>RANK('1bezr.'!C23,'1bezr.'!$C$3:'1bezr.'!$C$28,1)+COUNTIF('1bezr.'!$C$3:'1bezr.'!C23,'1bezr.'!C23)-1</f>
        <v>4</v>
      </c>
      <c r="AB24" s="151" t="str">
        <f>INDEX('1bezr.'!B3:G28,MATCH(5,AA4:AA29,0),1)</f>
        <v>kolbuszowski</v>
      </c>
      <c r="AC24" s="6">
        <f>INDEX('1bezr.'!B3:K28,MATCH(5,AA4:AA29,0),2)</f>
        <v>1525</v>
      </c>
      <c r="AE24" s="6">
        <f>RANK('1bezr.'!C23,'1bezr.'!$C$3:'1bezr.'!$C$28,1)+COUNTIF('1bezr.'!$C$3:'1bezr.'!C23,'1bezr.'!C23)-1</f>
        <v>4</v>
      </c>
      <c r="AF24" s="151" t="str">
        <f>INDEX('1bezr.'!B3:G28,MATCH(21,AE4:AE29,0),1)</f>
        <v>brzozowski</v>
      </c>
      <c r="AG24" s="6">
        <f>INDEX('1bezr.'!B3:K28,MATCH(21,AE4:AE29,0),2)</f>
        <v>3585</v>
      </c>
    </row>
    <row r="25" spans="2:33" x14ac:dyDescent="0.2">
      <c r="B25" s="6">
        <f>RANK('1bezr.'!C24,'1bezr.'!$C$3:'1bezr.'!$C$28,1)+COUNTIF('1bezr.'!$C$3:'1bezr.'!C24,'1bezr.'!C24)-1</f>
        <v>1</v>
      </c>
      <c r="C25" s="5" t="str">
        <f>INDEX('1bezr.'!B3:G28,MATCH(22,B4:B29,0),1)</f>
        <v>jarosławski</v>
      </c>
      <c r="D25" s="6">
        <f>INDEX('1bezr.'!B3:G28,MATCH(22,B4:B29,0),2)</f>
        <v>4276</v>
      </c>
      <c r="E25" s="42">
        <f>INDEX('1bezr.'!B3:G28,MATCH(22,B4:B29,0),3)</f>
        <v>4469</v>
      </c>
      <c r="F25" s="6">
        <f>INDEX('1bezr.'!B3:G28,MATCH(22,B4:B29,0),4)</f>
        <v>-193</v>
      </c>
      <c r="G25" s="42">
        <f>INDEX('1bezr.'!B3:G28,MATCH(22,B4:B29,0),5)</f>
        <v>4555</v>
      </c>
      <c r="H25" s="6">
        <f>INDEX('1bezr.'!B3:G28,MATCH(22,B4:B29,0),6)</f>
        <v>-279</v>
      </c>
      <c r="V25" s="6">
        <f>RANK('1bezr.'!E24,'1bezr.'!$E$3:'1bezr.'!$E$28,1)+COUNTIF('1bezr.'!$E$3:'1bezr.'!E24,'1bezr.'!E24)-1</f>
        <v>25</v>
      </c>
      <c r="W25" s="168" t="str">
        <f>INDEX('1bezr.'!B3:G28,MATCH(22,V4:V29,0),1)</f>
        <v>Przemyśl</v>
      </c>
      <c r="X25" s="161">
        <f>INDEX('1bezr.'!E3:G28,MATCH(22,V4:V29,0),1)</f>
        <v>-43</v>
      </c>
      <c r="Y25" s="167">
        <v>21</v>
      </c>
      <c r="Z25" s="2"/>
      <c r="AA25" s="6">
        <f>RANK('1bezr.'!C24,'1bezr.'!$C$3:'1bezr.'!$C$28,1)+COUNTIF('1bezr.'!$C$3:'1bezr.'!C24,'1bezr.'!C24)-1</f>
        <v>1</v>
      </c>
      <c r="AB25" s="151" t="str">
        <f>INDEX('1bezr.'!B3:G28,MATCH(4,AA4:AA29,0),1)</f>
        <v xml:space="preserve">tarnobrzeski </v>
      </c>
      <c r="AC25" s="6">
        <f>INDEX('1bezr.'!B3:K28,MATCH(4,AA4:AA29,0),2)</f>
        <v>1228</v>
      </c>
      <c r="AE25" s="6">
        <f>RANK('1bezr.'!C24,'1bezr.'!$C$3:'1bezr.'!$C$28,1)+COUNTIF('1bezr.'!$C$3:'1bezr.'!C24,'1bezr.'!C24)-1</f>
        <v>1</v>
      </c>
      <c r="AF25" s="151" t="str">
        <f>INDEX('1bezr.'!B3:G28,MATCH(22,AE4:AE29,0),1)</f>
        <v>jarosławski</v>
      </c>
      <c r="AG25" s="6">
        <f>INDEX('1bezr.'!B3:K28,MATCH(22,AE4:AE29,0),2)</f>
        <v>4276</v>
      </c>
    </row>
    <row r="26" spans="2:33" x14ac:dyDescent="0.2">
      <c r="B26" s="6">
        <f>RANK('1bezr.'!C25,'1bezr.'!$C$3:'1bezr.'!$C$28,1)+COUNTIF('1bezr.'!$C$3:'1bezr.'!C25,'1bezr.'!C25)-1</f>
        <v>9</v>
      </c>
      <c r="C26" s="5" t="str">
        <f>INDEX('1bezr.'!B3:G28,MATCH(23,B4:B29,0),1)</f>
        <v>rzeszowski</v>
      </c>
      <c r="D26" s="6">
        <f>INDEX('1bezr.'!B3:G28,MATCH(23,B4:B29,0),2)</f>
        <v>4604</v>
      </c>
      <c r="E26" s="42">
        <f>INDEX('1bezr.'!B3:G28,MATCH(23,B4:B29,0),3)</f>
        <v>4709</v>
      </c>
      <c r="F26" s="6">
        <f>INDEX('1bezr.'!B3:G28,MATCH(23,B4:B29,0),4)</f>
        <v>-105</v>
      </c>
      <c r="G26" s="42">
        <f>INDEX('1bezr.'!B3:G28,MATCH(23,B4:B29,0),5)</f>
        <v>4842</v>
      </c>
      <c r="H26" s="6">
        <f>INDEX('1bezr.'!B3:G28,MATCH(23,B4:B29,0),6)</f>
        <v>-238</v>
      </c>
      <c r="V26" s="6">
        <f>RANK('1bezr.'!E25,'1bezr.'!$E$3:'1bezr.'!$E$28,1)+COUNTIF('1bezr.'!$E$3:'1bezr.'!E25,'1bezr.'!E25)-1</f>
        <v>22</v>
      </c>
      <c r="W26" s="168" t="str">
        <f>INDEX('1bezr.'!B3:G28,MATCH(23,V4:V29,0),1)</f>
        <v>przeworski</v>
      </c>
      <c r="X26" s="161">
        <f>INDEX('1bezr.'!E3:G28,MATCH(23,V4:V29,0),1)</f>
        <v>-39</v>
      </c>
      <c r="Y26" s="167">
        <v>22</v>
      </c>
      <c r="Z26" s="2"/>
      <c r="AA26" s="6">
        <f>RANK('1bezr.'!C25,'1bezr.'!$C$3:'1bezr.'!$C$28,1)+COUNTIF('1bezr.'!$C$3:'1bezr.'!C25,'1bezr.'!C25)-1</f>
        <v>9</v>
      </c>
      <c r="AB26" s="151" t="str">
        <f>INDEX('1bezr.'!B3:G28,MATCH(3,AA4:AA29,0),1)</f>
        <v>Tarnobrzeg</v>
      </c>
      <c r="AC26" s="6">
        <f>INDEX('1bezr.'!B3:K28,MATCH(3,AA4:AA29,0),2)</f>
        <v>1086</v>
      </c>
      <c r="AE26" s="6">
        <f>RANK('1bezr.'!C25,'1bezr.'!$C$3:'1bezr.'!$C$28,1)+COUNTIF('1bezr.'!$C$3:'1bezr.'!C25,'1bezr.'!C25)-1</f>
        <v>9</v>
      </c>
      <c r="AF26" s="151" t="str">
        <f>INDEX('1bezr.'!B3:G28,MATCH(23,AE4:AE29,0),1)</f>
        <v>rzeszowski</v>
      </c>
      <c r="AG26" s="6">
        <f>INDEX('1bezr.'!B3:K28,MATCH(23,AE4:AE29,0),2)</f>
        <v>4604</v>
      </c>
    </row>
    <row r="27" spans="2:33" x14ac:dyDescent="0.2">
      <c r="B27" s="6">
        <f>RANK('1bezr.'!C26,'1bezr.'!$C$3:'1bezr.'!$C$28,1)+COUNTIF('1bezr.'!$C$3:'1bezr.'!C26,'1bezr.'!C26)-1</f>
        <v>25</v>
      </c>
      <c r="C27" s="5" t="str">
        <f>INDEX('1bezr.'!B3:G28,MATCH(24,B4:B29,0),1)</f>
        <v>jasielski</v>
      </c>
      <c r="D27" s="6">
        <f>INDEX('1bezr.'!B3:G28,MATCH(24,B4:B29,0),2)</f>
        <v>4902</v>
      </c>
      <c r="E27" s="42">
        <f>INDEX('1bezr.'!B3:G28,MATCH(24,B4:B29,0),3)</f>
        <v>5146</v>
      </c>
      <c r="F27" s="6">
        <f>INDEX('1bezr.'!B3:G28,MATCH(24,B4:B29,0),4)</f>
        <v>-244</v>
      </c>
      <c r="G27" s="42">
        <f>INDEX('1bezr.'!B3:G28,MATCH(24,B4:B29,0),5)</f>
        <v>4936</v>
      </c>
      <c r="H27" s="6">
        <f>INDEX('1bezr.'!B3:G28,MATCH(24,B4:B29,0),6)</f>
        <v>-34</v>
      </c>
      <c r="V27" s="6">
        <f>RANK('1bezr.'!E26,'1bezr.'!$E$3:'1bezr.'!$E$28,1)+COUNTIF('1bezr.'!$E$3:'1bezr.'!E26,'1bezr.'!E26)-1</f>
        <v>14</v>
      </c>
      <c r="W27" s="168" t="str">
        <f>INDEX('1bezr.'!B3:G28,MATCH(24,V4:V29,0),1)</f>
        <v>Tarnobrzeg</v>
      </c>
      <c r="X27" s="161">
        <f>INDEX('1bezr.'!E3:G28,MATCH(24,V4:V29,0),1)</f>
        <v>-35</v>
      </c>
      <c r="Y27" s="167">
        <v>23</v>
      </c>
      <c r="Z27" s="2"/>
      <c r="AA27" s="6">
        <f>RANK('1bezr.'!C26,'1bezr.'!$C$3:'1bezr.'!$C$28,1)+COUNTIF('1bezr.'!$C$3:'1bezr.'!C26,'1bezr.'!C26)-1</f>
        <v>25</v>
      </c>
      <c r="AB27" s="151" t="str">
        <f>INDEX('1bezr.'!B3:G28,MATCH(2,AA4:AA29,0),1)</f>
        <v>bieszczadzki</v>
      </c>
      <c r="AC27" s="6">
        <f>INDEX('1bezr.'!B3:K28,MATCH(2,AA4:AA29,0),2)</f>
        <v>1039</v>
      </c>
      <c r="AE27" s="6">
        <f>RANK('1bezr.'!C26,'1bezr.'!$C$3:'1bezr.'!$C$28,1)+COUNTIF('1bezr.'!$C$3:'1bezr.'!C26,'1bezr.'!C26)-1</f>
        <v>25</v>
      </c>
      <c r="AF27" s="151" t="str">
        <f>INDEX('1bezr.'!B3:G28,MATCH(24,AE4:AE29,0),1)</f>
        <v>jasielski</v>
      </c>
      <c r="AG27" s="6">
        <f>INDEX('1bezr.'!B3:K28,MATCH(24,AE4:AE29,0),2)</f>
        <v>4902</v>
      </c>
    </row>
    <row r="28" spans="2:33" x14ac:dyDescent="0.2">
      <c r="B28" s="6">
        <f>RANK('1bezr.'!C27,'1bezr.'!$C$3:'1bezr.'!$C$28,1)+COUNTIF('1bezr.'!$C$3:'1bezr.'!C27,'1bezr.'!C27)-1</f>
        <v>3</v>
      </c>
      <c r="C28" s="5" t="str">
        <f>INDEX('1bezr.'!B3:G28,MATCH(25,B4:B29,0),1)</f>
        <v>Rzeszów</v>
      </c>
      <c r="D28" s="6">
        <f>INDEX('1bezr.'!B3:G28,MATCH(25,B4:B29,0),2)</f>
        <v>5039</v>
      </c>
      <c r="E28" s="42">
        <f>INDEX('1bezr.'!B3:G28,MATCH(25,B4:B29,0),3)</f>
        <v>5114</v>
      </c>
      <c r="F28" s="6">
        <f>INDEX('1bezr.'!B3:G28,MATCH(25,B4:B29,0),4)</f>
        <v>-75</v>
      </c>
      <c r="G28" s="42">
        <f>INDEX('1bezr.'!B3:G28,MATCH(25,B4:B29,0),5)</f>
        <v>5482</v>
      </c>
      <c r="H28" s="6">
        <f>INDEX('1bezr.'!B3:G28,MATCH(25,B4:B29,0),6)</f>
        <v>-443</v>
      </c>
      <c r="V28" s="6">
        <f>RANK('1bezr.'!E27,'1bezr.'!$E$3:'1bezr.'!$E$28,1)+COUNTIF('1bezr.'!$E$3:'1bezr.'!E27,'1bezr.'!E27)-1</f>
        <v>24</v>
      </c>
      <c r="W28" s="168" t="str">
        <f>INDEX('1bezr.'!B3:G28,MATCH(25,V4:V29,0),1)</f>
        <v>Krosno</v>
      </c>
      <c r="X28" s="161">
        <f>INDEX('1bezr.'!E3:G28,MATCH(25,V4:V29,0),1)</f>
        <v>-13</v>
      </c>
      <c r="Y28" s="167">
        <v>24</v>
      </c>
      <c r="Z28" s="2"/>
      <c r="AA28" s="6">
        <f>RANK('1bezr.'!C27,'1bezr.'!$C$3:'1bezr.'!$C$28,1)+COUNTIF('1bezr.'!$C$3:'1bezr.'!C27,'1bezr.'!C27)-1</f>
        <v>3</v>
      </c>
      <c r="AB28" s="151" t="str">
        <f>INDEX('1bezr.'!B3:G28,MATCH(1,AA4:AA29,0),1)</f>
        <v>Krosno</v>
      </c>
      <c r="AC28" s="6">
        <f>INDEX('1bezr.'!B3:K28,MATCH(1,AA4:AA29,0),2)</f>
        <v>862</v>
      </c>
      <c r="AE28" s="6">
        <f>RANK('1bezr.'!C27,'1bezr.'!$C$3:'1bezr.'!$C$28,1)+COUNTIF('1bezr.'!$C$3:'1bezr.'!C27,'1bezr.'!C27)-1</f>
        <v>3</v>
      </c>
      <c r="AF28" s="151" t="str">
        <f>INDEX('1bezr.'!B3:G28,MATCH(25,AE4:AE29,0),1)</f>
        <v>Rzeszów</v>
      </c>
      <c r="AG28" s="6">
        <f>INDEX('1bezr.'!B3:K28,MATCH(25,AE4:AE29,0),2)</f>
        <v>5039</v>
      </c>
    </row>
    <row r="29" spans="2:33" ht="15" x14ac:dyDescent="0.25">
      <c r="B29" s="40">
        <f>RANK('1bezr.'!C28,'1bezr.'!$C$3:'1bezr.'!$C$28,1)+COUNTIF('1bezr.'!$C$3:'1bezr.'!C28,'1bezr.'!C28)-1</f>
        <v>26</v>
      </c>
      <c r="C29" s="39" t="str">
        <f>INDEX('1bezr.'!B3:G28,MATCH(26,B4:B29,0),1)</f>
        <v>województwo</v>
      </c>
      <c r="D29" s="40">
        <f>INDEX('1bezr.'!B3:G28,MATCH(26,B4:B29,0),2)</f>
        <v>66247</v>
      </c>
      <c r="E29" s="44">
        <f>INDEX('1bezr.'!B3:G28,MATCH(26,B4:B29,0),3)</f>
        <v>68399</v>
      </c>
      <c r="F29" s="40">
        <f>INDEX('1bezr.'!B3:G28,MATCH(26,B4:B29,0),4)</f>
        <v>-2152</v>
      </c>
      <c r="G29" s="44">
        <f>INDEX('1bezr.'!B3:G28,MATCH(26,B4:B29,0),5)</f>
        <v>68791</v>
      </c>
      <c r="H29" s="40">
        <f>INDEX('1bezr.'!B3:G28,MATCH(26,B4:B29,0),6)</f>
        <v>-2544</v>
      </c>
      <c r="V29" s="6">
        <f>RANK('1bezr.'!E28,'1bezr.'!$E$3:'1bezr.'!$E$28,1)+COUNTIF('1bezr.'!$E$3:'1bezr.'!E28,'1bezr.'!E28)-1</f>
        <v>1</v>
      </c>
      <c r="W29" s="158" t="str">
        <f>INDEX('1bezr.'!B3:G28,MATCH(26,V4:V29,0),1)</f>
        <v>ropczycko-sędziszowski</v>
      </c>
      <c r="X29" s="156">
        <f>INDEX('1bezr.'!E3:G28,MATCH(26,V4:V29,0),1)</f>
        <v>86</v>
      </c>
      <c r="Y29" s="157">
        <v>1</v>
      </c>
      <c r="Z29" s="2"/>
      <c r="AA29" s="6">
        <f>RANK('1bezr.'!C28,'1bezr.'!$C$3:'1bezr.'!$C$28,1)+COUNTIF('1bezr.'!$C$3:'1bezr.'!C28,'1bezr.'!C28)-1</f>
        <v>26</v>
      </c>
      <c r="AB29" s="152" t="str">
        <f>INDEX('1bezr.'!B3:G28,MATCH(26,AA4:AA29,0),1)</f>
        <v>województwo</v>
      </c>
      <c r="AC29" s="76">
        <f>INDEX('1bezr.'!B3:K28,MATCH(26,AA4:AA29,0),2)</f>
        <v>66247</v>
      </c>
      <c r="AE29" s="6">
        <f>RANK('1bezr.'!C28,'1bezr.'!$C$3:'1bezr.'!$C$28,1)+COUNTIF('1bezr.'!$C$3:'1bezr.'!C28,'1bezr.'!C28)-1</f>
        <v>26</v>
      </c>
      <c r="AF29" s="152" t="str">
        <f>INDEX('1bezr.'!B3:G28,MATCH(26,AE4:AE29,0),1)</f>
        <v>województwo</v>
      </c>
      <c r="AG29" s="76">
        <f>INDEX('1bezr.'!B3:K28,MATCH(26,AE4:AE29,0),2)</f>
        <v>66247</v>
      </c>
    </row>
    <row r="30" spans="2:33" x14ac:dyDescent="0.2">
      <c r="F30" s="19"/>
      <c r="H30" s="19"/>
      <c r="X30" s="49">
        <f>SUM(X5:X29)</f>
        <v>-2152</v>
      </c>
      <c r="Y30" s="49"/>
      <c r="AC30" s="49">
        <f>SUM(AC4:AC28)</f>
        <v>66247</v>
      </c>
      <c r="AG30" s="49">
        <f>SUM(AG4:AG28)</f>
        <v>66247</v>
      </c>
    </row>
  </sheetData>
  <pageMargins left="0" right="0" top="0.31496062992125984" bottom="0.31496062992125984" header="0" footer="0"/>
  <pageSetup paperSize="9" scale="4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C00"/>
    <pageSetUpPr fitToPage="1"/>
  </sheetPr>
  <dimension ref="B1:M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28515625" style="3" customWidth="1"/>
    <col min="2" max="2" width="25.140625" style="3" customWidth="1"/>
    <col min="3" max="3" width="15.140625" style="3" customWidth="1"/>
    <col min="4" max="4" width="14.5703125" style="3" customWidth="1"/>
    <col min="5" max="5" width="17.42578125" style="3" customWidth="1"/>
    <col min="6" max="6" width="14.7109375" style="3" customWidth="1"/>
    <col min="7" max="7" width="17" style="3" customWidth="1"/>
    <col min="8" max="8" width="3.85546875" style="3" customWidth="1"/>
    <col min="9" max="9" width="24.85546875" style="3" hidden="1" customWidth="1"/>
    <col min="10" max="10" width="15.140625" style="3" hidden="1" customWidth="1"/>
    <col min="11" max="11" width="10.85546875" style="3" hidden="1" customWidth="1"/>
    <col min="12" max="12" width="10.42578125" style="3" hidden="1" customWidth="1"/>
    <col min="13" max="13" width="5.5703125" style="3" hidden="1" customWidth="1"/>
    <col min="14" max="16384" width="9.140625" style="3"/>
  </cols>
  <sheetData>
    <row r="1" spans="2:12" ht="17.25" customHeight="1" x14ac:dyDescent="0.2">
      <c r="B1" s="2" t="s">
        <v>36</v>
      </c>
      <c r="I1" s="3" t="s">
        <v>39</v>
      </c>
    </row>
    <row r="2" spans="2:12" ht="75" customHeight="1" x14ac:dyDescent="0.2">
      <c r="B2" s="36" t="s">
        <v>27</v>
      </c>
      <c r="C2" s="37" t="s">
        <v>80</v>
      </c>
      <c r="D2" s="38" t="s">
        <v>74</v>
      </c>
      <c r="E2" s="37" t="s">
        <v>28</v>
      </c>
      <c r="F2" s="38" t="s">
        <v>79</v>
      </c>
      <c r="G2" s="37" t="s">
        <v>26</v>
      </c>
      <c r="I2" s="36" t="s">
        <v>27</v>
      </c>
      <c r="J2" s="37" t="str">
        <f>T('1bezr.'!C2)</f>
        <v>liczba bezrobotnych ogółem stan na 30-04-'24 r.</v>
      </c>
      <c r="K2" s="37" t="s">
        <v>34</v>
      </c>
      <c r="L2" s="37" t="s">
        <v>46</v>
      </c>
    </row>
    <row r="3" spans="2:12" x14ac:dyDescent="0.2">
      <c r="B3" s="5" t="s">
        <v>0</v>
      </c>
      <c r="C3" s="6">
        <v>499</v>
      </c>
      <c r="D3" s="42">
        <v>523</v>
      </c>
      <c r="E3" s="6">
        <f t="shared" ref="E3:E26" si="0">SUM(C3)-D3</f>
        <v>-24</v>
      </c>
      <c r="F3" s="42">
        <v>550</v>
      </c>
      <c r="G3" s="6">
        <f t="shared" ref="G3:G26" si="1">SUM(C3)-F3</f>
        <v>-51</v>
      </c>
      <c r="I3" s="5" t="s">
        <v>0</v>
      </c>
      <c r="J3" s="6">
        <f>SUM('1bezr.'!C3)</f>
        <v>1039</v>
      </c>
      <c r="K3" s="6">
        <f>SUM(C3)</f>
        <v>499</v>
      </c>
      <c r="L3" s="23">
        <f t="shared" ref="L3:L28" si="2">SUM(K3)/J3*100</f>
        <v>48.026948989412901</v>
      </c>
    </row>
    <row r="4" spans="2:12" x14ac:dyDescent="0.2">
      <c r="B4" s="5" t="s">
        <v>1</v>
      </c>
      <c r="C4" s="6">
        <v>1806</v>
      </c>
      <c r="D4" s="42">
        <v>1873</v>
      </c>
      <c r="E4" s="6">
        <f t="shared" si="0"/>
        <v>-67</v>
      </c>
      <c r="F4" s="42">
        <v>1990</v>
      </c>
      <c r="G4" s="6">
        <f t="shared" si="1"/>
        <v>-184</v>
      </c>
      <c r="I4" s="5" t="s">
        <v>1</v>
      </c>
      <c r="J4" s="6">
        <f>SUM('1bezr.'!C4)</f>
        <v>3585</v>
      </c>
      <c r="K4" s="6">
        <f t="shared" ref="K4:K27" si="3">SUM(C4)</f>
        <v>1806</v>
      </c>
      <c r="L4" s="23">
        <f t="shared" si="2"/>
        <v>50.376569037656907</v>
      </c>
    </row>
    <row r="5" spans="2:12" x14ac:dyDescent="0.2">
      <c r="B5" s="5" t="s">
        <v>2</v>
      </c>
      <c r="C5" s="6">
        <v>1402</v>
      </c>
      <c r="D5" s="42">
        <v>1462</v>
      </c>
      <c r="E5" s="6">
        <f t="shared" si="0"/>
        <v>-60</v>
      </c>
      <c r="F5" s="42">
        <v>1472</v>
      </c>
      <c r="G5" s="6">
        <f t="shared" si="1"/>
        <v>-70</v>
      </c>
      <c r="I5" s="5" t="s">
        <v>2</v>
      </c>
      <c r="J5" s="6">
        <f>SUM('1bezr.'!C5)</f>
        <v>2394</v>
      </c>
      <c r="K5" s="6">
        <f t="shared" si="3"/>
        <v>1402</v>
      </c>
      <c r="L5" s="23">
        <f t="shared" si="2"/>
        <v>58.563074352548043</v>
      </c>
    </row>
    <row r="6" spans="2:12" x14ac:dyDescent="0.2">
      <c r="B6" s="5" t="s">
        <v>3</v>
      </c>
      <c r="C6" s="6">
        <v>2205</v>
      </c>
      <c r="D6" s="42">
        <v>2288</v>
      </c>
      <c r="E6" s="6">
        <f t="shared" si="0"/>
        <v>-83</v>
      </c>
      <c r="F6" s="42">
        <v>2437</v>
      </c>
      <c r="G6" s="6">
        <f t="shared" si="1"/>
        <v>-232</v>
      </c>
      <c r="I6" s="5" t="s">
        <v>3</v>
      </c>
      <c r="J6" s="6">
        <f>SUM('1bezr.'!C6)</f>
        <v>4276</v>
      </c>
      <c r="K6" s="6">
        <f t="shared" si="3"/>
        <v>2205</v>
      </c>
      <c r="L6" s="23">
        <f t="shared" si="2"/>
        <v>51.566884939195511</v>
      </c>
    </row>
    <row r="7" spans="2:12" x14ac:dyDescent="0.2">
      <c r="B7" s="5" t="s">
        <v>4</v>
      </c>
      <c r="C7" s="6">
        <v>2814</v>
      </c>
      <c r="D7" s="42">
        <v>2911</v>
      </c>
      <c r="E7" s="6">
        <f t="shared" si="0"/>
        <v>-97</v>
      </c>
      <c r="F7" s="42">
        <v>2805</v>
      </c>
      <c r="G7" s="6">
        <f t="shared" si="1"/>
        <v>9</v>
      </c>
      <c r="I7" s="5" t="s">
        <v>4</v>
      </c>
      <c r="J7" s="6">
        <f>SUM('1bezr.'!C7)</f>
        <v>4902</v>
      </c>
      <c r="K7" s="6">
        <f t="shared" si="3"/>
        <v>2814</v>
      </c>
      <c r="L7" s="23">
        <f t="shared" si="2"/>
        <v>57.405140758873927</v>
      </c>
    </row>
    <row r="8" spans="2:12" x14ac:dyDescent="0.2">
      <c r="B8" s="5" t="s">
        <v>5</v>
      </c>
      <c r="C8" s="6">
        <v>714</v>
      </c>
      <c r="D8" s="42">
        <v>744</v>
      </c>
      <c r="E8" s="6">
        <f t="shared" si="0"/>
        <v>-30</v>
      </c>
      <c r="F8" s="42">
        <v>819</v>
      </c>
      <c r="G8" s="6">
        <f t="shared" si="1"/>
        <v>-105</v>
      </c>
      <c r="I8" s="5" t="s">
        <v>5</v>
      </c>
      <c r="J8" s="6">
        <f>SUM('1bezr.'!C8)</f>
        <v>1525</v>
      </c>
      <c r="K8" s="6">
        <f t="shared" si="3"/>
        <v>714</v>
      </c>
      <c r="L8" s="23">
        <f>SUM(K8)/J8*100</f>
        <v>46.819672131147541</v>
      </c>
    </row>
    <row r="9" spans="2:12" x14ac:dyDescent="0.2">
      <c r="B9" s="9" t="s">
        <v>6</v>
      </c>
      <c r="C9" s="6">
        <v>1247</v>
      </c>
      <c r="D9" s="42">
        <v>1272</v>
      </c>
      <c r="E9" s="6">
        <f t="shared" si="0"/>
        <v>-25</v>
      </c>
      <c r="F9" s="42">
        <v>1197</v>
      </c>
      <c r="G9" s="6">
        <f t="shared" si="1"/>
        <v>50</v>
      </c>
      <c r="I9" s="9" t="s">
        <v>6</v>
      </c>
      <c r="J9" s="6">
        <f>SUM('1bezr.'!C9)</f>
        <v>2316</v>
      </c>
      <c r="K9" s="6">
        <f t="shared" si="3"/>
        <v>1247</v>
      </c>
      <c r="L9" s="23">
        <f t="shared" si="2"/>
        <v>53.842832469775473</v>
      </c>
    </row>
    <row r="10" spans="2:12" x14ac:dyDescent="0.2">
      <c r="B10" s="5" t="s">
        <v>7</v>
      </c>
      <c r="C10" s="6">
        <v>789</v>
      </c>
      <c r="D10" s="42">
        <v>806</v>
      </c>
      <c r="E10" s="6">
        <f t="shared" si="0"/>
        <v>-17</v>
      </c>
      <c r="F10" s="42">
        <v>824</v>
      </c>
      <c r="G10" s="6">
        <f t="shared" si="1"/>
        <v>-35</v>
      </c>
      <c r="I10" s="5" t="s">
        <v>7</v>
      </c>
      <c r="J10" s="6">
        <f>SUM('1bezr.'!C10)</f>
        <v>1676</v>
      </c>
      <c r="K10" s="6">
        <f t="shared" si="3"/>
        <v>789</v>
      </c>
      <c r="L10" s="23">
        <f t="shared" si="2"/>
        <v>47.076372315035798</v>
      </c>
    </row>
    <row r="11" spans="2:12" x14ac:dyDescent="0.2">
      <c r="B11" s="5" t="s">
        <v>8</v>
      </c>
      <c r="C11" s="6">
        <v>1557</v>
      </c>
      <c r="D11" s="42">
        <v>1591</v>
      </c>
      <c r="E11" s="6">
        <f t="shared" si="0"/>
        <v>-34</v>
      </c>
      <c r="F11" s="42">
        <v>1691</v>
      </c>
      <c r="G11" s="6">
        <f t="shared" si="1"/>
        <v>-134</v>
      </c>
      <c r="I11" s="5" t="s">
        <v>8</v>
      </c>
      <c r="J11" s="6">
        <f>SUM('1bezr.'!C11)</f>
        <v>3042</v>
      </c>
      <c r="K11" s="6">
        <f t="shared" si="3"/>
        <v>1557</v>
      </c>
      <c r="L11" s="23">
        <f t="shared" si="2"/>
        <v>51.183431952662716</v>
      </c>
    </row>
    <row r="12" spans="2:12" x14ac:dyDescent="0.2">
      <c r="B12" s="5" t="s">
        <v>9</v>
      </c>
      <c r="C12" s="6">
        <v>753</v>
      </c>
      <c r="D12" s="42">
        <v>812</v>
      </c>
      <c r="E12" s="6">
        <f t="shared" si="0"/>
        <v>-59</v>
      </c>
      <c r="F12" s="42">
        <v>825</v>
      </c>
      <c r="G12" s="6">
        <f t="shared" si="1"/>
        <v>-72</v>
      </c>
      <c r="I12" s="5" t="s">
        <v>9</v>
      </c>
      <c r="J12" s="6">
        <f>SUM('1bezr.'!C12)</f>
        <v>1656</v>
      </c>
      <c r="K12" s="6">
        <f t="shared" si="3"/>
        <v>753</v>
      </c>
      <c r="L12" s="23">
        <f t="shared" si="2"/>
        <v>45.471014492753625</v>
      </c>
    </row>
    <row r="13" spans="2:12" x14ac:dyDescent="0.2">
      <c r="B13" s="5" t="s">
        <v>10</v>
      </c>
      <c r="C13" s="6">
        <v>1163</v>
      </c>
      <c r="D13" s="42">
        <v>1218</v>
      </c>
      <c r="E13" s="6">
        <f t="shared" si="0"/>
        <v>-55</v>
      </c>
      <c r="F13" s="42">
        <v>1257</v>
      </c>
      <c r="G13" s="6">
        <f t="shared" si="1"/>
        <v>-94</v>
      </c>
      <c r="I13" s="5" t="s">
        <v>10</v>
      </c>
      <c r="J13" s="6">
        <f>SUM('1bezr.'!C13)</f>
        <v>2501</v>
      </c>
      <c r="K13" s="6">
        <f t="shared" si="3"/>
        <v>1163</v>
      </c>
      <c r="L13" s="23">
        <f t="shared" si="2"/>
        <v>46.501399440223913</v>
      </c>
    </row>
    <row r="14" spans="2:12" x14ac:dyDescent="0.2">
      <c r="B14" s="5" t="s">
        <v>11</v>
      </c>
      <c r="C14" s="6">
        <v>1401</v>
      </c>
      <c r="D14" s="42">
        <v>1433</v>
      </c>
      <c r="E14" s="6">
        <f t="shared" si="0"/>
        <v>-32</v>
      </c>
      <c r="F14" s="42">
        <v>1399</v>
      </c>
      <c r="G14" s="6">
        <f t="shared" si="1"/>
        <v>2</v>
      </c>
      <c r="I14" s="5" t="s">
        <v>11</v>
      </c>
      <c r="J14" s="6">
        <f>SUM('1bezr.'!C14)</f>
        <v>2872</v>
      </c>
      <c r="K14" s="6">
        <f t="shared" si="3"/>
        <v>1401</v>
      </c>
      <c r="L14" s="23">
        <f t="shared" si="2"/>
        <v>48.781337047353759</v>
      </c>
    </row>
    <row r="15" spans="2:12" x14ac:dyDescent="0.2">
      <c r="B15" s="5" t="s">
        <v>12</v>
      </c>
      <c r="C15" s="6">
        <v>1471</v>
      </c>
      <c r="D15" s="42">
        <v>1507</v>
      </c>
      <c r="E15" s="6">
        <f t="shared" si="0"/>
        <v>-36</v>
      </c>
      <c r="F15" s="42">
        <v>1626</v>
      </c>
      <c r="G15" s="6">
        <f t="shared" si="1"/>
        <v>-155</v>
      </c>
      <c r="I15" s="5" t="s">
        <v>12</v>
      </c>
      <c r="J15" s="6">
        <f>SUM('1bezr.'!C15)</f>
        <v>2937</v>
      </c>
      <c r="K15" s="6">
        <f t="shared" si="3"/>
        <v>1471</v>
      </c>
      <c r="L15" s="23">
        <f t="shared" si="2"/>
        <v>50.08512087163772</v>
      </c>
    </row>
    <row r="16" spans="2:12" x14ac:dyDescent="0.2">
      <c r="B16" s="5" t="s">
        <v>13</v>
      </c>
      <c r="C16" s="6">
        <v>1405</v>
      </c>
      <c r="D16" s="42">
        <v>1473</v>
      </c>
      <c r="E16" s="6">
        <f t="shared" si="0"/>
        <v>-68</v>
      </c>
      <c r="F16" s="42">
        <v>1519</v>
      </c>
      <c r="G16" s="6">
        <f t="shared" si="1"/>
        <v>-114</v>
      </c>
      <c r="I16" s="5" t="s">
        <v>13</v>
      </c>
      <c r="J16" s="6">
        <f>SUM('1bezr.'!C16)</f>
        <v>2792</v>
      </c>
      <c r="K16" s="6">
        <f t="shared" si="3"/>
        <v>1405</v>
      </c>
      <c r="L16" s="23">
        <f t="shared" si="2"/>
        <v>50.322349570200572</v>
      </c>
    </row>
    <row r="17" spans="2:12" x14ac:dyDescent="0.2">
      <c r="B17" s="5" t="s">
        <v>14</v>
      </c>
      <c r="C17" s="6">
        <v>1693</v>
      </c>
      <c r="D17" s="42">
        <v>1691</v>
      </c>
      <c r="E17" s="6">
        <f t="shared" si="0"/>
        <v>2</v>
      </c>
      <c r="F17" s="42">
        <v>1943</v>
      </c>
      <c r="G17" s="6">
        <f t="shared" si="1"/>
        <v>-250</v>
      </c>
      <c r="I17" s="5" t="s">
        <v>14</v>
      </c>
      <c r="J17" s="6">
        <f>SUM('1bezr.'!C17)</f>
        <v>3160</v>
      </c>
      <c r="K17" s="6">
        <f t="shared" si="3"/>
        <v>1693</v>
      </c>
      <c r="L17" s="23">
        <f t="shared" si="2"/>
        <v>53.575949367088604</v>
      </c>
    </row>
    <row r="18" spans="2:12" x14ac:dyDescent="0.2">
      <c r="B18" s="5" t="s">
        <v>15</v>
      </c>
      <c r="C18" s="6">
        <v>1383</v>
      </c>
      <c r="D18" s="42">
        <v>1324</v>
      </c>
      <c r="E18" s="6">
        <f t="shared" si="0"/>
        <v>59</v>
      </c>
      <c r="F18" s="42">
        <v>1434</v>
      </c>
      <c r="G18" s="6">
        <f t="shared" si="1"/>
        <v>-51</v>
      </c>
      <c r="I18" s="5" t="s">
        <v>15</v>
      </c>
      <c r="J18" s="6">
        <f>SUM('1bezr.'!C18)</f>
        <v>2695</v>
      </c>
      <c r="K18" s="6">
        <f t="shared" si="3"/>
        <v>1383</v>
      </c>
      <c r="L18" s="23">
        <f t="shared" si="2"/>
        <v>51.317254174397029</v>
      </c>
    </row>
    <row r="19" spans="2:12" x14ac:dyDescent="0.2">
      <c r="B19" s="5" t="s">
        <v>16</v>
      </c>
      <c r="C19" s="6">
        <v>2175</v>
      </c>
      <c r="D19" s="42">
        <v>2231</v>
      </c>
      <c r="E19" s="6">
        <f t="shared" si="0"/>
        <v>-56</v>
      </c>
      <c r="F19" s="42">
        <v>2407</v>
      </c>
      <c r="G19" s="6">
        <f t="shared" si="1"/>
        <v>-232</v>
      </c>
      <c r="I19" s="5" t="s">
        <v>16</v>
      </c>
      <c r="J19" s="6">
        <f>SUM('1bezr.'!C19)</f>
        <v>4604</v>
      </c>
      <c r="K19" s="6">
        <f t="shared" si="3"/>
        <v>2175</v>
      </c>
      <c r="L19" s="23">
        <f t="shared" si="2"/>
        <v>47.241529105125977</v>
      </c>
    </row>
    <row r="20" spans="2:12" x14ac:dyDescent="0.2">
      <c r="B20" s="5" t="s">
        <v>17</v>
      </c>
      <c r="C20" s="6">
        <v>1332</v>
      </c>
      <c r="D20" s="42">
        <v>1412</v>
      </c>
      <c r="E20" s="6">
        <f t="shared" si="0"/>
        <v>-80</v>
      </c>
      <c r="F20" s="42">
        <v>1354</v>
      </c>
      <c r="G20" s="6">
        <f t="shared" si="1"/>
        <v>-22</v>
      </c>
      <c r="I20" s="5" t="s">
        <v>17</v>
      </c>
      <c r="J20" s="6">
        <f>SUM('1bezr.'!C20)</f>
        <v>2728</v>
      </c>
      <c r="K20" s="6">
        <f t="shared" si="3"/>
        <v>1332</v>
      </c>
      <c r="L20" s="23">
        <f t="shared" si="2"/>
        <v>48.826979472140764</v>
      </c>
    </row>
    <row r="21" spans="2:12" x14ac:dyDescent="0.2">
      <c r="B21" s="5" t="s">
        <v>18</v>
      </c>
      <c r="C21" s="6">
        <v>1012</v>
      </c>
      <c r="D21" s="42">
        <v>1045</v>
      </c>
      <c r="E21" s="6">
        <f t="shared" si="0"/>
        <v>-33</v>
      </c>
      <c r="F21" s="42">
        <v>1067</v>
      </c>
      <c r="G21" s="6">
        <f t="shared" si="1"/>
        <v>-55</v>
      </c>
      <c r="I21" s="5" t="s">
        <v>18</v>
      </c>
      <c r="J21" s="6">
        <f>SUM('1bezr.'!C21)</f>
        <v>1959</v>
      </c>
      <c r="K21" s="6">
        <f t="shared" si="3"/>
        <v>1012</v>
      </c>
      <c r="L21" s="23">
        <f t="shared" si="2"/>
        <v>51.659009698825933</v>
      </c>
    </row>
    <row r="22" spans="2:12" x14ac:dyDescent="0.2">
      <c r="B22" s="5" t="s">
        <v>19</v>
      </c>
      <c r="C22" s="6">
        <v>1566</v>
      </c>
      <c r="D22" s="42">
        <v>1554</v>
      </c>
      <c r="E22" s="6">
        <f t="shared" si="0"/>
        <v>12</v>
      </c>
      <c r="F22" s="42">
        <v>1649</v>
      </c>
      <c r="G22" s="6">
        <f t="shared" si="1"/>
        <v>-83</v>
      </c>
      <c r="I22" s="5" t="s">
        <v>19</v>
      </c>
      <c r="J22" s="6">
        <f>SUM('1bezr.'!C22)</f>
        <v>3059</v>
      </c>
      <c r="K22" s="6">
        <f t="shared" si="3"/>
        <v>1566</v>
      </c>
      <c r="L22" s="23">
        <f t="shared" si="2"/>
        <v>51.193200392285064</v>
      </c>
    </row>
    <row r="23" spans="2:12" x14ac:dyDescent="0.2">
      <c r="B23" s="5" t="s">
        <v>20</v>
      </c>
      <c r="C23" s="6">
        <v>629</v>
      </c>
      <c r="D23" s="42">
        <v>665</v>
      </c>
      <c r="E23" s="6">
        <f t="shared" si="0"/>
        <v>-36</v>
      </c>
      <c r="F23" s="42">
        <v>681</v>
      </c>
      <c r="G23" s="6">
        <f t="shared" si="1"/>
        <v>-52</v>
      </c>
      <c r="I23" s="5" t="s">
        <v>20</v>
      </c>
      <c r="J23" s="6">
        <f>SUM('1bezr.'!C23)</f>
        <v>1228</v>
      </c>
      <c r="K23" s="6">
        <f t="shared" si="3"/>
        <v>629</v>
      </c>
      <c r="L23" s="23">
        <f t="shared" si="2"/>
        <v>51.221498371335507</v>
      </c>
    </row>
    <row r="24" spans="2:12" x14ac:dyDescent="0.2">
      <c r="B24" s="5" t="s">
        <v>21</v>
      </c>
      <c r="C24" s="6">
        <v>465</v>
      </c>
      <c r="D24" s="42">
        <v>474</v>
      </c>
      <c r="E24" s="6">
        <f t="shared" si="0"/>
        <v>-9</v>
      </c>
      <c r="F24" s="42">
        <v>412</v>
      </c>
      <c r="G24" s="6">
        <f t="shared" si="1"/>
        <v>53</v>
      </c>
      <c r="I24" s="5" t="s">
        <v>21</v>
      </c>
      <c r="J24" s="6">
        <f>SUM('1bezr.'!C24)</f>
        <v>862</v>
      </c>
      <c r="K24" s="6">
        <f t="shared" si="3"/>
        <v>465</v>
      </c>
      <c r="L24" s="23">
        <f t="shared" si="2"/>
        <v>53.944315545243612</v>
      </c>
    </row>
    <row r="25" spans="2:12" x14ac:dyDescent="0.2">
      <c r="B25" s="5" t="s">
        <v>22</v>
      </c>
      <c r="C25" s="6">
        <v>1111</v>
      </c>
      <c r="D25" s="42">
        <v>1141</v>
      </c>
      <c r="E25" s="6">
        <f t="shared" si="0"/>
        <v>-30</v>
      </c>
      <c r="F25" s="42">
        <v>1197</v>
      </c>
      <c r="G25" s="6">
        <f t="shared" si="1"/>
        <v>-86</v>
      </c>
      <c r="I25" s="5" t="s">
        <v>22</v>
      </c>
      <c r="J25" s="6">
        <f>SUM('1bezr.'!C25)</f>
        <v>2314</v>
      </c>
      <c r="K25" s="6">
        <f t="shared" si="3"/>
        <v>1111</v>
      </c>
      <c r="L25" s="23">
        <f t="shared" si="2"/>
        <v>48.012100259291266</v>
      </c>
    </row>
    <row r="26" spans="2:12" x14ac:dyDescent="0.2">
      <c r="B26" s="5" t="s">
        <v>23</v>
      </c>
      <c r="C26" s="6">
        <v>2536</v>
      </c>
      <c r="D26" s="42">
        <v>2571</v>
      </c>
      <c r="E26" s="6">
        <f t="shared" si="0"/>
        <v>-35</v>
      </c>
      <c r="F26" s="42">
        <v>2828</v>
      </c>
      <c r="G26" s="6">
        <f t="shared" si="1"/>
        <v>-292</v>
      </c>
      <c r="I26" s="5" t="s">
        <v>23</v>
      </c>
      <c r="J26" s="6">
        <f>SUM('1bezr.'!C26)</f>
        <v>5039</v>
      </c>
      <c r="K26" s="6">
        <f t="shared" si="3"/>
        <v>2536</v>
      </c>
      <c r="L26" s="23">
        <f t="shared" si="2"/>
        <v>50.32744592180989</v>
      </c>
    </row>
    <row r="27" spans="2:12" x14ac:dyDescent="0.2">
      <c r="B27" s="5" t="s">
        <v>24</v>
      </c>
      <c r="C27" s="6">
        <v>535</v>
      </c>
      <c r="D27" s="42">
        <v>561</v>
      </c>
      <c r="E27" s="6">
        <f>SUM(C27)-D27</f>
        <v>-26</v>
      </c>
      <c r="F27" s="42">
        <v>567</v>
      </c>
      <c r="G27" s="6">
        <f>SUM(C27)-F27</f>
        <v>-32</v>
      </c>
      <c r="I27" s="5" t="s">
        <v>24</v>
      </c>
      <c r="J27" s="6">
        <f>SUM('1bezr.'!C27)</f>
        <v>1086</v>
      </c>
      <c r="K27" s="6">
        <f t="shared" si="3"/>
        <v>535</v>
      </c>
      <c r="L27" s="23">
        <f t="shared" si="2"/>
        <v>49.263351749539595</v>
      </c>
    </row>
    <row r="28" spans="2:12" ht="15" x14ac:dyDescent="0.25">
      <c r="B28" s="39" t="s">
        <v>25</v>
      </c>
      <c r="C28" s="40">
        <f>SUM(C3:C27)</f>
        <v>33663</v>
      </c>
      <c r="D28" s="41">
        <f>SUM(D3:D27)</f>
        <v>34582</v>
      </c>
      <c r="E28" s="40">
        <f>SUM(E3:E27)</f>
        <v>-919</v>
      </c>
      <c r="F28" s="41">
        <f>SUM(F3:F27)</f>
        <v>35950</v>
      </c>
      <c r="G28" s="40">
        <f>SUM(G3:G27)</f>
        <v>-2287</v>
      </c>
      <c r="I28" s="39" t="s">
        <v>25</v>
      </c>
      <c r="J28" s="40">
        <f>SUM(J3:J27)</f>
        <v>66247</v>
      </c>
      <c r="K28" s="40">
        <f>SUM(K3:K27)</f>
        <v>33663</v>
      </c>
      <c r="L28" s="45">
        <f t="shared" si="2"/>
        <v>50.814376500067922</v>
      </c>
    </row>
    <row r="29" spans="2:12" x14ac:dyDescent="0.2">
      <c r="E29" s="19"/>
    </row>
  </sheetData>
  <printOptions horizontalCentered="1" verticalCentered="1"/>
  <pageMargins left="0" right="0" top="0.31496062992125984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7109375" style="3" customWidth="1"/>
    <col min="2" max="2" width="6.5703125" style="3" customWidth="1"/>
    <col min="3" max="3" width="24.85546875" style="3" customWidth="1"/>
    <col min="4" max="4" width="15.28515625" style="3" customWidth="1"/>
    <col min="5" max="5" width="14.85546875" style="3" customWidth="1"/>
    <col min="6" max="6" width="16.5703125" style="3" customWidth="1"/>
    <col min="7" max="7" width="14.5703125" style="3" customWidth="1"/>
    <col min="8" max="8" width="17.140625" style="3" customWidth="1"/>
    <col min="9" max="9" width="5.85546875" style="3" customWidth="1"/>
    <col min="10" max="16384" width="9.140625" style="3"/>
  </cols>
  <sheetData>
    <row r="1" spans="2:8" x14ac:dyDescent="0.2">
      <c r="B1" s="2" t="s">
        <v>36</v>
      </c>
    </row>
    <row r="2" spans="2:8" ht="15" x14ac:dyDescent="0.2">
      <c r="C2" s="20"/>
      <c r="D2" s="21"/>
    </row>
    <row r="3" spans="2:8" ht="57" x14ac:dyDescent="0.2">
      <c r="B3" s="43" t="s">
        <v>42</v>
      </c>
      <c r="C3" s="36" t="str">
        <f>T('2kob.'!B2)</f>
        <v>powiaty</v>
      </c>
      <c r="D3" s="36" t="str">
        <f>T('2kob.'!C2)</f>
        <v>liczba bezrobotnych kobiet stan na 30-04-'24 r.</v>
      </c>
      <c r="E3" s="36" t="str">
        <f>T('2kob.'!D2)</f>
        <v>liczba bezrobotnych kobiet stan na 31-03-'24 r.</v>
      </c>
      <c r="F3" s="36" t="str">
        <f>T('2kob.'!E2)</f>
        <v>wzrost/spadek do poprzedniego  miesiąca</v>
      </c>
      <c r="G3" s="36" t="str">
        <f>T('2kob.'!F2)</f>
        <v>liczba bezrobotnych kobiet stan na 30-04-'23 r.</v>
      </c>
      <c r="H3" s="36" t="str">
        <f>T('2kob.'!G2)</f>
        <v>wzrost/spadek do analogicznego okresu ubr.</v>
      </c>
    </row>
    <row r="4" spans="2:8" x14ac:dyDescent="0.2">
      <c r="B4" s="6">
        <f>RANK('2kob.'!C3,'2kob.'!$C$3:'2kob.'!$C$28,1)+COUNTIF('2kob.'!$C$3:'2kob.'!C3,'2kob.'!C3)-1</f>
        <v>2</v>
      </c>
      <c r="C4" s="5" t="str">
        <f>INDEX('2kob.'!B3:G28,MATCH(1,B4:B29,0),1)</f>
        <v>Krosno</v>
      </c>
      <c r="D4" s="24">
        <f>INDEX('2kob.'!B3:G28,MATCH(1,B4:B29,0),2)</f>
        <v>465</v>
      </c>
      <c r="E4" s="42">
        <f>INDEX('2kob.'!B3:G28,MATCH(1,B4:B29,0),3)</f>
        <v>474</v>
      </c>
      <c r="F4" s="6">
        <f>INDEX('2kob.'!B3:G28,MATCH(1,B4:B29,0),4)</f>
        <v>-9</v>
      </c>
      <c r="G4" s="42">
        <f>INDEX('2kob.'!B3:G28,MATCH(1,B4:B29,0),5)</f>
        <v>412</v>
      </c>
      <c r="H4" s="6">
        <f>INDEX('2kob.'!B3:G28,MATCH(1,B4:B29,0),6)</f>
        <v>53</v>
      </c>
    </row>
    <row r="5" spans="2:8" x14ac:dyDescent="0.2">
      <c r="B5" s="6">
        <f>RANK('2kob.'!C4,'2kob.'!$C$3:'2kob.'!$C$28,1)+COUNTIF('2kob.'!$C$3:'2kob.'!C4,'2kob.'!C4)-1</f>
        <v>21</v>
      </c>
      <c r="C5" s="5" t="str">
        <f>INDEX('2kob.'!B3:G28,MATCH(2,B4:B29,0),1)</f>
        <v>bieszczadzki</v>
      </c>
      <c r="D5" s="6">
        <f>INDEX('2kob.'!B3:G28,MATCH(2,B4:B29,0),2)</f>
        <v>499</v>
      </c>
      <c r="E5" s="42">
        <f>INDEX('2kob.'!B3:G28,MATCH(2,B4:B29,0),3)</f>
        <v>523</v>
      </c>
      <c r="F5" s="6">
        <f>INDEX('2kob.'!B3:G28,MATCH(2,B4:B29,0),4)</f>
        <v>-24</v>
      </c>
      <c r="G5" s="42">
        <f>INDEX('2kob.'!B3:G28,MATCH(2,B4:B29,0),5)</f>
        <v>550</v>
      </c>
      <c r="H5" s="6">
        <f>INDEX('2kob.'!B3:G28,MATCH(2,B4:B29,0),6)</f>
        <v>-51</v>
      </c>
    </row>
    <row r="6" spans="2:8" x14ac:dyDescent="0.2">
      <c r="B6" s="6">
        <f>RANK('2kob.'!C5,'2kob.'!$C$3:'2kob.'!$C$28,1)+COUNTIF('2kob.'!$C$3:'2kob.'!C5,'2kob.'!C5)-1</f>
        <v>15</v>
      </c>
      <c r="C6" s="5" t="str">
        <f>INDEX('2kob.'!B3:G28,MATCH(3,B4:B29,0),1)</f>
        <v>Tarnobrzeg</v>
      </c>
      <c r="D6" s="6">
        <f>INDEX('2kob.'!B3:G28,MATCH(3,B4:B29,0),2)</f>
        <v>535</v>
      </c>
      <c r="E6" s="42">
        <f>INDEX('2kob.'!B3:G28,MATCH(3,B4:B29,0),3)</f>
        <v>561</v>
      </c>
      <c r="F6" s="6">
        <f>INDEX('2kob.'!B3:G28,MATCH(3,B4:B29,0),4)</f>
        <v>-26</v>
      </c>
      <c r="G6" s="42">
        <f>INDEX('2kob.'!B3:G28,MATCH(3,B4:B29,0),5)</f>
        <v>567</v>
      </c>
      <c r="H6" s="6">
        <f>INDEX('2kob.'!B3:G28,MATCH(3,B4:B29,0),6)</f>
        <v>-32</v>
      </c>
    </row>
    <row r="7" spans="2:8" x14ac:dyDescent="0.2">
      <c r="B7" s="6">
        <f>RANK('2kob.'!C6,'2kob.'!$C$3:'2kob.'!$C$28,1)+COUNTIF('2kob.'!$C$3:'2kob.'!C6,'2kob.'!C6)-1</f>
        <v>23</v>
      </c>
      <c r="C7" s="5" t="str">
        <f>INDEX('2kob.'!B3:G28,MATCH(4,B4:B29,0),1)</f>
        <v xml:space="preserve">tarnobrzeski </v>
      </c>
      <c r="D7" s="6">
        <f>INDEX('2kob.'!B3:G28,MATCH(4,B4:B29,0),2)</f>
        <v>629</v>
      </c>
      <c r="E7" s="42">
        <f>INDEX('2kob.'!B3:G28,MATCH(4,B4:B29,0),3)</f>
        <v>665</v>
      </c>
      <c r="F7" s="6">
        <f>INDEX('2kob.'!B3:G28,MATCH(4,B4:B29,0),4)</f>
        <v>-36</v>
      </c>
      <c r="G7" s="42">
        <f>INDEX('2kob.'!B3:G28,MATCH(4,B4:B29,0),5)</f>
        <v>681</v>
      </c>
      <c r="H7" s="6">
        <f>INDEX('2kob.'!B3:G28,MATCH(4,B4:B29,0),6)</f>
        <v>-52</v>
      </c>
    </row>
    <row r="8" spans="2:8" x14ac:dyDescent="0.2">
      <c r="B8" s="6">
        <f>RANK('2kob.'!C7,'2kob.'!$C$3:'2kob.'!$C$28,1)+COUNTIF('2kob.'!$C$3:'2kob.'!C7,'2kob.'!C7)-1</f>
        <v>25</v>
      </c>
      <c r="C8" s="5" t="str">
        <f>INDEX('2kob.'!B3:G28,MATCH(5,B4:B29,0),1)</f>
        <v>kolbuszowski</v>
      </c>
      <c r="D8" s="6">
        <f>INDEX('2kob.'!B3:G28,MATCH(5,B4:B29,0),2)</f>
        <v>714</v>
      </c>
      <c r="E8" s="42">
        <f>INDEX('2kob.'!B3:G28,MATCH(5,B4:B29,0),3)</f>
        <v>744</v>
      </c>
      <c r="F8" s="6">
        <f>INDEX('2kob.'!B3:G28,MATCH(5,B4:B29,0),4)</f>
        <v>-30</v>
      </c>
      <c r="G8" s="42">
        <f>INDEX('2kob.'!B3:G28,MATCH(5,B4:B29,0),5)</f>
        <v>819</v>
      </c>
      <c r="H8" s="6">
        <f>INDEX('2kob.'!B3:G28,MATCH(5,B4:B29,0),6)</f>
        <v>-105</v>
      </c>
    </row>
    <row r="9" spans="2:8" x14ac:dyDescent="0.2">
      <c r="B9" s="6">
        <f>RANK('2kob.'!C8,'2kob.'!$C$3:'2kob.'!$C$28,1)+COUNTIF('2kob.'!$C$3:'2kob.'!C8,'2kob.'!C8)-1</f>
        <v>5</v>
      </c>
      <c r="C9" s="5" t="str">
        <f>INDEX('2kob.'!B3:G28,MATCH(6,B4:B29,0),1)</f>
        <v>lubaczowski</v>
      </c>
      <c r="D9" s="6">
        <f>INDEX('2kob.'!B3:G28,MATCH(6,B4:B29,0),2)</f>
        <v>753</v>
      </c>
      <c r="E9" s="42">
        <f>INDEX('2kob.'!B3:G28,MATCH(6,B4:B29,0),3)</f>
        <v>812</v>
      </c>
      <c r="F9" s="6">
        <f>INDEX('2kob.'!B3:G28,MATCH(6,B4:B29,0),4)</f>
        <v>-59</v>
      </c>
      <c r="G9" s="42">
        <f>INDEX('2kob.'!B3:G28,MATCH(6,B4:B29,0),5)</f>
        <v>825</v>
      </c>
      <c r="H9" s="6">
        <f>INDEX('2kob.'!B3:G28,MATCH(6,B4:B29,0),6)</f>
        <v>-72</v>
      </c>
    </row>
    <row r="10" spans="2:8" x14ac:dyDescent="0.2">
      <c r="B10" s="6">
        <f>RANK('2kob.'!C9,'2kob.'!$C$3:'2kob.'!$C$28,1)+COUNTIF('2kob.'!$C$3:'2kob.'!C9,'2kob.'!C9)-1</f>
        <v>11</v>
      </c>
      <c r="C10" s="9" t="str">
        <f>INDEX('2kob.'!B3:G28,MATCH(7,B4:B29,0),1)</f>
        <v>leski</v>
      </c>
      <c r="D10" s="6">
        <f>INDEX('2kob.'!B3:G28,MATCH(7,B4:B29,0),2)</f>
        <v>789</v>
      </c>
      <c r="E10" s="42">
        <f>INDEX('2kob.'!B3:G28,MATCH(7,B4:B29,0),3)</f>
        <v>806</v>
      </c>
      <c r="F10" s="6">
        <f>INDEX('2kob.'!B3:G28,MATCH(7,B4:B29,0),4)</f>
        <v>-17</v>
      </c>
      <c r="G10" s="42">
        <f>INDEX('2kob.'!B3:G28,MATCH(7,B4:B29,0),5)</f>
        <v>824</v>
      </c>
      <c r="H10" s="6">
        <f>INDEX('2kob.'!B3:G28,MATCH(7,B4:B29,0),6)</f>
        <v>-35</v>
      </c>
    </row>
    <row r="11" spans="2:8" x14ac:dyDescent="0.2">
      <c r="B11" s="6">
        <f>RANK('2kob.'!C10,'2kob.'!$C$3:'2kob.'!$C$28,1)+COUNTIF('2kob.'!$C$3:'2kob.'!C10,'2kob.'!C10)-1</f>
        <v>7</v>
      </c>
      <c r="C11" s="5" t="str">
        <f>INDEX('2kob.'!B3:G28,MATCH(8,B4:B29,0),1)</f>
        <v>stalowowolski</v>
      </c>
      <c r="D11" s="6">
        <f>INDEX('2kob.'!B3:G28,MATCH(8,B4:B29,0),2)</f>
        <v>1012</v>
      </c>
      <c r="E11" s="42">
        <f>INDEX('2kob.'!B3:G28,MATCH(8,B4:B29,0),3)</f>
        <v>1045</v>
      </c>
      <c r="F11" s="6">
        <f>INDEX('2kob.'!B3:G28,MATCH(8,B4:B29,0),4)</f>
        <v>-33</v>
      </c>
      <c r="G11" s="42">
        <f>INDEX('2kob.'!B3:G28,MATCH(8,B4:B29,0),5)</f>
        <v>1067</v>
      </c>
      <c r="H11" s="6">
        <f>INDEX('2kob.'!B3:G28,MATCH(8,B4:B29,0),6)</f>
        <v>-55</v>
      </c>
    </row>
    <row r="12" spans="2:8" x14ac:dyDescent="0.2">
      <c r="B12" s="6">
        <f>RANK('2kob.'!C11,'2kob.'!$C$3:'2kob.'!$C$28,1)+COUNTIF('2kob.'!$C$3:'2kob.'!C11,'2kob.'!C11)-1</f>
        <v>18</v>
      </c>
      <c r="C12" s="5" t="str">
        <f>INDEX('2kob.'!B3:G28,MATCH(9,B4:B29,0),1)</f>
        <v>Przemyśl</v>
      </c>
      <c r="D12" s="6">
        <f>INDEX('2kob.'!B3:G28,MATCH(9,B4:B29,0),2)</f>
        <v>1111</v>
      </c>
      <c r="E12" s="42">
        <f>INDEX('2kob.'!B3:G28,MATCH(9,B4:B29,0),3)</f>
        <v>1141</v>
      </c>
      <c r="F12" s="6">
        <f>INDEX('2kob.'!B3:G28,MATCH(9,B4:B29,0),4)</f>
        <v>-30</v>
      </c>
      <c r="G12" s="42">
        <f>INDEX('2kob.'!B3:G28,MATCH(9,B4:B29,0),5)</f>
        <v>1197</v>
      </c>
      <c r="H12" s="6">
        <f>INDEX('2kob.'!B3:G28,MATCH(9,B4:B29,0),6)</f>
        <v>-86</v>
      </c>
    </row>
    <row r="13" spans="2:8" x14ac:dyDescent="0.2">
      <c r="B13" s="6">
        <f>RANK('2kob.'!C12,'2kob.'!$C$3:'2kob.'!$C$28,1)+COUNTIF('2kob.'!$C$3:'2kob.'!C12,'2kob.'!C12)-1</f>
        <v>6</v>
      </c>
      <c r="C13" s="5" t="str">
        <f>INDEX('2kob.'!B3:G28,MATCH(10,B4:B29,0),1)</f>
        <v>łańcucki</v>
      </c>
      <c r="D13" s="6">
        <f>INDEX('2kob.'!B3:G28,MATCH(10,B4:B29,0),2)</f>
        <v>1163</v>
      </c>
      <c r="E13" s="42">
        <f>INDEX('2kob.'!B3:G28,MATCH(10,B4:B29,0),3)</f>
        <v>1218</v>
      </c>
      <c r="F13" s="6">
        <f>INDEX('2kob.'!B3:G28,MATCH(10,B4:B29,0),4)</f>
        <v>-55</v>
      </c>
      <c r="G13" s="42">
        <f>INDEX('2kob.'!B3:G28,MATCH(10,B4:B29,0),5)</f>
        <v>1257</v>
      </c>
      <c r="H13" s="6">
        <f>INDEX('2kob.'!B3:G28,MATCH(10,B4:B29,0),6)</f>
        <v>-94</v>
      </c>
    </row>
    <row r="14" spans="2:8" x14ac:dyDescent="0.2">
      <c r="B14" s="6">
        <f>RANK('2kob.'!C13,'2kob.'!$C$3:'2kob.'!$C$28,1)+COUNTIF('2kob.'!$C$3:'2kob.'!C13,'2kob.'!C13)-1</f>
        <v>10</v>
      </c>
      <c r="C14" s="5" t="str">
        <f>INDEX('2kob.'!B3:G28,MATCH(11,B4:B29,0),1)</f>
        <v>krośnieński</v>
      </c>
      <c r="D14" s="6">
        <f>INDEX('2kob.'!B3:G28,MATCH(11,B4:B29,0),2)</f>
        <v>1247</v>
      </c>
      <c r="E14" s="42">
        <f>INDEX('2kob.'!B3:G28,MATCH(11,B4:B29,0),3)</f>
        <v>1272</v>
      </c>
      <c r="F14" s="6">
        <f>INDEX('2kob.'!B3:G28,MATCH(11,B4:B29,0),4)</f>
        <v>-25</v>
      </c>
      <c r="G14" s="42">
        <f>INDEX('2kob.'!B3:G28,MATCH(11,B4:B29,0),5)</f>
        <v>1197</v>
      </c>
      <c r="H14" s="6">
        <f>INDEX('2kob.'!B3:G28,MATCH(11,B4:B29,0),6)</f>
        <v>50</v>
      </c>
    </row>
    <row r="15" spans="2:8" x14ac:dyDescent="0.2">
      <c r="B15" s="6">
        <f>RANK('2kob.'!C14,'2kob.'!$C$3:'2kob.'!$C$28,1)+COUNTIF('2kob.'!$C$3:'2kob.'!C14,'2kob.'!C14)-1</f>
        <v>14</v>
      </c>
      <c r="C15" s="5" t="str">
        <f>INDEX('2kob.'!B3:G28,MATCH(12,B4:B29,0),1)</f>
        <v>sanocki</v>
      </c>
      <c r="D15" s="6">
        <f>INDEX('2kob.'!B3:G28,MATCH(12,B4:B29,0),2)</f>
        <v>1332</v>
      </c>
      <c r="E15" s="42">
        <f>INDEX('2kob.'!B3:G28,MATCH(12,B4:B29,0),3)</f>
        <v>1412</v>
      </c>
      <c r="F15" s="6">
        <f>INDEX('2kob.'!B3:G28,MATCH(12,B4:B29,0),4)</f>
        <v>-80</v>
      </c>
      <c r="G15" s="42">
        <f>INDEX('2kob.'!B3:G28,MATCH(12,B4:B29,0),5)</f>
        <v>1354</v>
      </c>
      <c r="H15" s="6">
        <f>INDEX('2kob.'!B3:G28,MATCH(12,B4:B29,0),6)</f>
        <v>-22</v>
      </c>
    </row>
    <row r="16" spans="2:8" x14ac:dyDescent="0.2">
      <c r="B16" s="6">
        <f>RANK('2kob.'!C15,'2kob.'!$C$3:'2kob.'!$C$28,1)+COUNTIF('2kob.'!$C$3:'2kob.'!C15,'2kob.'!C15)-1</f>
        <v>17</v>
      </c>
      <c r="C16" s="5" t="str">
        <f>INDEX('2kob.'!B3:G28,MATCH(13,B4:B29,0),1)</f>
        <v>ropczycko-sędziszowski</v>
      </c>
      <c r="D16" s="6">
        <f>INDEX('2kob.'!B3:G28,MATCH(13,B4:B29,0),2)</f>
        <v>1383</v>
      </c>
      <c r="E16" s="42">
        <f>INDEX('2kob.'!B3:G28,MATCH(13,B4:B29,0),3)</f>
        <v>1324</v>
      </c>
      <c r="F16" s="6">
        <f>INDEX('2kob.'!B3:G28,MATCH(13,B4:B29,0),4)</f>
        <v>59</v>
      </c>
      <c r="G16" s="42">
        <f>INDEX('2kob.'!B3:G28,MATCH(13,B4:B29,0),5)</f>
        <v>1434</v>
      </c>
      <c r="H16" s="6">
        <f>INDEX('2kob.'!B3:G28,MATCH(13,B4:B29,0),6)</f>
        <v>-51</v>
      </c>
    </row>
    <row r="17" spans="2:8" x14ac:dyDescent="0.2">
      <c r="B17" s="6">
        <f>RANK('2kob.'!C16,'2kob.'!$C$3:'2kob.'!$C$28,1)+COUNTIF('2kob.'!$C$3:'2kob.'!C16,'2kob.'!C16)-1</f>
        <v>16</v>
      </c>
      <c r="C17" s="5" t="str">
        <f>INDEX('2kob.'!B3:G28,MATCH(14,B4:B29,0),1)</f>
        <v>mielecki</v>
      </c>
      <c r="D17" s="6">
        <f>INDEX('2kob.'!B3:G28,MATCH(14,B4:B29,0),2)</f>
        <v>1401</v>
      </c>
      <c r="E17" s="42">
        <f>INDEX('2kob.'!B3:G28,MATCH(14,B4:B29,0),3)</f>
        <v>1433</v>
      </c>
      <c r="F17" s="6">
        <f>INDEX('2kob.'!B3:G28,MATCH(14,B4:B29,0),4)</f>
        <v>-32</v>
      </c>
      <c r="G17" s="42">
        <f>INDEX('2kob.'!B3:G28,MATCH(14,B4:B29,0),5)</f>
        <v>1399</v>
      </c>
      <c r="H17" s="6">
        <f>INDEX('2kob.'!B3:G28,MATCH(14,B4:B29,0),6)</f>
        <v>2</v>
      </c>
    </row>
    <row r="18" spans="2:8" x14ac:dyDescent="0.2">
      <c r="B18" s="6">
        <f>RANK('2kob.'!C17,'2kob.'!$C$3:'2kob.'!$C$28,1)+COUNTIF('2kob.'!$C$3:'2kob.'!C17,'2kob.'!C17)-1</f>
        <v>20</v>
      </c>
      <c r="C18" s="5" t="str">
        <f>INDEX('2kob.'!B3:G28,MATCH(15,B4:B29,0),1)</f>
        <v>dębicki</v>
      </c>
      <c r="D18" s="6">
        <f>INDEX('2kob.'!B3:G28,MATCH(15,B4:B29,0),2)</f>
        <v>1402</v>
      </c>
      <c r="E18" s="42">
        <f>INDEX('2kob.'!B3:G28,MATCH(15,B4:B29,0),3)</f>
        <v>1462</v>
      </c>
      <c r="F18" s="6">
        <f>INDEX('2kob.'!B3:G28,MATCH(15,B4:B29,0),4)</f>
        <v>-60</v>
      </c>
      <c r="G18" s="42">
        <f>INDEX('2kob.'!B3:G28,MATCH(15,B4:B29,0),5)</f>
        <v>1472</v>
      </c>
      <c r="H18" s="6">
        <f>INDEX('2kob.'!B3:G28,MATCH(15,B4:B29,0),6)</f>
        <v>-70</v>
      </c>
    </row>
    <row r="19" spans="2:8" x14ac:dyDescent="0.2">
      <c r="B19" s="6">
        <f>RANK('2kob.'!C18,'2kob.'!$C$3:'2kob.'!$C$28,1)+COUNTIF('2kob.'!$C$3:'2kob.'!C18,'2kob.'!C18)-1</f>
        <v>13</v>
      </c>
      <c r="C19" s="5" t="str">
        <f>INDEX('2kob.'!B3:G28,MATCH(16,B4:B29,0),1)</f>
        <v>przemyski</v>
      </c>
      <c r="D19" s="6">
        <f>INDEX('2kob.'!B3:G28,MATCH(16,B4:B29,0),2)</f>
        <v>1405</v>
      </c>
      <c r="E19" s="42">
        <f>INDEX('2kob.'!B3:G28,MATCH(16,B4:B29,0),3)</f>
        <v>1473</v>
      </c>
      <c r="F19" s="6">
        <f>INDEX('2kob.'!B3:G28,MATCH(16,B4:B29,0),4)</f>
        <v>-68</v>
      </c>
      <c r="G19" s="42">
        <f>INDEX('2kob.'!B3:G28,MATCH(16,B4:B29,0),5)</f>
        <v>1519</v>
      </c>
      <c r="H19" s="6">
        <f>INDEX('2kob.'!B3:G28,MATCH(16,B4:B29,0),6)</f>
        <v>-114</v>
      </c>
    </row>
    <row r="20" spans="2:8" x14ac:dyDescent="0.2">
      <c r="B20" s="6">
        <f>RANK('2kob.'!C19,'2kob.'!$C$3:'2kob.'!$C$28,1)+COUNTIF('2kob.'!$C$3:'2kob.'!C19,'2kob.'!C19)-1</f>
        <v>22</v>
      </c>
      <c r="C20" s="5" t="str">
        <f>INDEX('2kob.'!B3:G28,MATCH(17,B4:B29,0),1)</f>
        <v>niżański</v>
      </c>
      <c r="D20" s="6">
        <f>INDEX('2kob.'!B3:G28,MATCH(17,B4:B29,0),2)</f>
        <v>1471</v>
      </c>
      <c r="E20" s="42">
        <f>INDEX('2kob.'!B3:G28,MATCH(17,B4:B29,0),3)</f>
        <v>1507</v>
      </c>
      <c r="F20" s="6">
        <f>INDEX('2kob.'!B3:G28,MATCH(17,B4:B29,0),4)</f>
        <v>-36</v>
      </c>
      <c r="G20" s="42">
        <f>INDEX('2kob.'!B3:G28,MATCH(17,B4:B29,0),5)</f>
        <v>1626</v>
      </c>
      <c r="H20" s="6">
        <f>INDEX('2kob.'!B3:G28,MATCH(17,B4:B29,0),6)</f>
        <v>-155</v>
      </c>
    </row>
    <row r="21" spans="2:8" x14ac:dyDescent="0.2">
      <c r="B21" s="6">
        <f>RANK('2kob.'!C20,'2kob.'!$C$3:'2kob.'!$C$28,1)+COUNTIF('2kob.'!$C$3:'2kob.'!C20,'2kob.'!C20)-1</f>
        <v>12</v>
      </c>
      <c r="C21" s="5" t="str">
        <f>INDEX('2kob.'!B3:G28,MATCH(18,B4:B29,0),1)</f>
        <v>leżajski</v>
      </c>
      <c r="D21" s="6">
        <f>INDEX('2kob.'!B3:G28,MATCH(18,B4:B29,0),2)</f>
        <v>1557</v>
      </c>
      <c r="E21" s="42">
        <f>INDEX('2kob.'!B3:G28,MATCH(18,B4:B29,0),3)</f>
        <v>1591</v>
      </c>
      <c r="F21" s="6">
        <f>INDEX('2kob.'!B3:G28,MATCH(18,B4:B29,0),4)</f>
        <v>-34</v>
      </c>
      <c r="G21" s="42">
        <f>INDEX('2kob.'!B3:G28,MATCH(18,B4:B29,0),5)</f>
        <v>1691</v>
      </c>
      <c r="H21" s="6">
        <f>INDEX('2kob.'!B3:G28,MATCH(18,B4:B29,0),6)</f>
        <v>-134</v>
      </c>
    </row>
    <row r="22" spans="2:8" x14ac:dyDescent="0.2">
      <c r="B22" s="6">
        <f>RANK('2kob.'!C21,'2kob.'!$C$3:'2kob.'!$C$28,1)+COUNTIF('2kob.'!$C$3:'2kob.'!C21,'2kob.'!C21)-1</f>
        <v>8</v>
      </c>
      <c r="C22" s="5" t="str">
        <f>INDEX('2kob.'!B3:G28,MATCH(19,B4:B29,0),1)</f>
        <v>strzyżowski</v>
      </c>
      <c r="D22" s="6">
        <f>INDEX('2kob.'!B3:G28,MATCH(19,B4:B29,0),2)</f>
        <v>1566</v>
      </c>
      <c r="E22" s="42">
        <f>INDEX('2kob.'!B3:G28,MATCH(19,B4:B29,0),3)</f>
        <v>1554</v>
      </c>
      <c r="F22" s="6">
        <f>INDEX('2kob.'!B3:G28,MATCH(19,B4:B29,0),4)</f>
        <v>12</v>
      </c>
      <c r="G22" s="42">
        <f>INDEX('2kob.'!B3:G28,MATCH(19,B4:B29,0),5)</f>
        <v>1649</v>
      </c>
      <c r="H22" s="6">
        <f>INDEX('2kob.'!B3:G28,MATCH(19,B4:B29,0),6)</f>
        <v>-83</v>
      </c>
    </row>
    <row r="23" spans="2:8" x14ac:dyDescent="0.2">
      <c r="B23" s="6">
        <f>RANK('2kob.'!C22,'2kob.'!$C$3:'2kob.'!$C$28,1)+COUNTIF('2kob.'!$C$3:'2kob.'!C22,'2kob.'!C22)-1</f>
        <v>19</v>
      </c>
      <c r="C23" s="5" t="str">
        <f>INDEX('2kob.'!B3:G28,MATCH(20,B4:B29,0),1)</f>
        <v>przeworski</v>
      </c>
      <c r="D23" s="6">
        <f>INDEX('2kob.'!B3:G28,MATCH(20,B4:B29,0),2)</f>
        <v>1693</v>
      </c>
      <c r="E23" s="42">
        <f>INDEX('2kob.'!B3:G28,MATCH(20,B4:B29,0),3)</f>
        <v>1691</v>
      </c>
      <c r="F23" s="6">
        <f>INDEX('2kob.'!B3:G28,MATCH(20,B4:B29,0),4)</f>
        <v>2</v>
      </c>
      <c r="G23" s="42">
        <f>INDEX('2kob.'!B3:G28,MATCH(20,B4:B29,0),5)</f>
        <v>1943</v>
      </c>
      <c r="H23" s="6">
        <f>INDEX('2kob.'!B3:G28,MATCH(20,B4:B29,0),6)</f>
        <v>-250</v>
      </c>
    </row>
    <row r="24" spans="2:8" x14ac:dyDescent="0.2">
      <c r="B24" s="6">
        <f>RANK('2kob.'!C23,'2kob.'!$C$3:'2kob.'!$C$28,1)+COUNTIF('2kob.'!$C$3:'2kob.'!C23,'2kob.'!C23)-1</f>
        <v>4</v>
      </c>
      <c r="C24" s="5" t="str">
        <f>INDEX('2kob.'!B3:G28,MATCH(21,B4:B29,0),1)</f>
        <v>brzozowski</v>
      </c>
      <c r="D24" s="6">
        <f>INDEX('2kob.'!B3:G28,MATCH(21,B4:B29,0),2)</f>
        <v>1806</v>
      </c>
      <c r="E24" s="42">
        <f>INDEX('2kob.'!B3:G28,MATCH(21,B4:B29,0),3)</f>
        <v>1873</v>
      </c>
      <c r="F24" s="6">
        <f>INDEX('2kob.'!B3:G28,MATCH(21,B4:B29,0),4)</f>
        <v>-67</v>
      </c>
      <c r="G24" s="42">
        <f>INDEX('2kob.'!B3:G28,MATCH(21,B4:B29,0),5)</f>
        <v>1990</v>
      </c>
      <c r="H24" s="6">
        <f>INDEX('2kob.'!B3:G28,MATCH(21,B4:B29,0),6)</f>
        <v>-184</v>
      </c>
    </row>
    <row r="25" spans="2:8" x14ac:dyDescent="0.2">
      <c r="B25" s="6">
        <f>RANK('2kob.'!C24,'2kob.'!$C$3:'2kob.'!$C$28,1)+COUNTIF('2kob.'!$C$3:'2kob.'!C24,'2kob.'!C24)-1</f>
        <v>1</v>
      </c>
      <c r="C25" s="5" t="str">
        <f>INDEX('2kob.'!B3:G28,MATCH(22,B4:B29,0),1)</f>
        <v>rzeszowski</v>
      </c>
      <c r="D25" s="6">
        <f>INDEX('2kob.'!B3:G28,MATCH(22,B4:B29,0),2)</f>
        <v>2175</v>
      </c>
      <c r="E25" s="42">
        <f>INDEX('2kob.'!B3:G28,MATCH(22,B4:B29,0),3)</f>
        <v>2231</v>
      </c>
      <c r="F25" s="6">
        <f>INDEX('2kob.'!B3:G28,MATCH(22,B4:B29,0),4)</f>
        <v>-56</v>
      </c>
      <c r="G25" s="42">
        <f>INDEX('2kob.'!B3:G28,MATCH(22,B4:B29,0),5)</f>
        <v>2407</v>
      </c>
      <c r="H25" s="6">
        <f>INDEX('2kob.'!B3:G28,MATCH(22,B4:B29,0),6)</f>
        <v>-232</v>
      </c>
    </row>
    <row r="26" spans="2:8" x14ac:dyDescent="0.2">
      <c r="B26" s="6">
        <f>RANK('2kob.'!C25,'2kob.'!$C$3:'2kob.'!$C$28,1)+COUNTIF('2kob.'!$C$3:'2kob.'!C25,'2kob.'!C25)-1</f>
        <v>9</v>
      </c>
      <c r="C26" s="5" t="str">
        <f>INDEX('2kob.'!B3:G28,MATCH(23,B4:B29,0),1)</f>
        <v>jarosławski</v>
      </c>
      <c r="D26" s="6">
        <f>INDEX('2kob.'!B3:G28,MATCH(23,B4:B29,0),2)</f>
        <v>2205</v>
      </c>
      <c r="E26" s="42">
        <f>INDEX('2kob.'!B3:G28,MATCH(23,B4:B29,0),3)</f>
        <v>2288</v>
      </c>
      <c r="F26" s="6">
        <f>INDEX('2kob.'!B3:G28,MATCH(23,B4:B29,0),4)</f>
        <v>-83</v>
      </c>
      <c r="G26" s="42">
        <f>INDEX('2kob.'!B3:G28,MATCH(23,B4:B29,0),5)</f>
        <v>2437</v>
      </c>
      <c r="H26" s="6">
        <f>INDEX('2kob.'!B3:G28,MATCH(23,B4:B29,0),6)</f>
        <v>-232</v>
      </c>
    </row>
    <row r="27" spans="2:8" x14ac:dyDescent="0.2">
      <c r="B27" s="6">
        <f>RANK('2kob.'!C26,'2kob.'!$C$3:'2kob.'!$C$28,1)+COUNTIF('2kob.'!$C$3:'2kob.'!C26,'2kob.'!C26)-1</f>
        <v>24</v>
      </c>
      <c r="C27" s="5" t="str">
        <f>INDEX('2kob.'!B3:G28,MATCH(24,B4:B29,0),1)</f>
        <v>Rzeszów</v>
      </c>
      <c r="D27" s="6">
        <f>INDEX('2kob.'!B3:G28,MATCH(24,B4:B29,0),2)</f>
        <v>2536</v>
      </c>
      <c r="E27" s="42">
        <f>INDEX('2kob.'!B3:G28,MATCH(24,B4:B29,0),3)</f>
        <v>2571</v>
      </c>
      <c r="F27" s="6">
        <f>INDEX('2kob.'!B3:G28,MATCH(24,B4:B29,0),4)</f>
        <v>-35</v>
      </c>
      <c r="G27" s="42">
        <f>INDEX('2kob.'!B3:G28,MATCH(24,B4:B29,0),5)</f>
        <v>2828</v>
      </c>
      <c r="H27" s="6">
        <f>INDEX('2kob.'!B3:G28,MATCH(24,B4:B29,0),6)</f>
        <v>-292</v>
      </c>
    </row>
    <row r="28" spans="2:8" x14ac:dyDescent="0.2">
      <c r="B28" s="6">
        <f>RANK('2kob.'!C27,'2kob.'!$C$3:'2kob.'!$C$28,1)+COUNTIF('2kob.'!$C$3:'2kob.'!C27,'2kob.'!C27)-1</f>
        <v>3</v>
      </c>
      <c r="C28" s="5" t="str">
        <f>INDEX('2kob.'!B3:G28,MATCH(25,B4:B29,0),1)</f>
        <v>jasielski</v>
      </c>
      <c r="D28" s="6">
        <f>INDEX('2kob.'!B3:G28,MATCH(25,B4:B29,0),2)</f>
        <v>2814</v>
      </c>
      <c r="E28" s="42">
        <f>INDEX('2kob.'!B3:G28,MATCH(25,B4:B29,0),3)</f>
        <v>2911</v>
      </c>
      <c r="F28" s="6">
        <f>INDEX('2kob.'!B3:G28,MATCH(25,B4:B29,0),4)</f>
        <v>-97</v>
      </c>
      <c r="G28" s="42">
        <f>INDEX('2kob.'!B3:G28,MATCH(25,B4:B29,0),5)</f>
        <v>2805</v>
      </c>
      <c r="H28" s="6">
        <f>INDEX('2kob.'!B3:G28,MATCH(25,B4:B29,0),6)</f>
        <v>9</v>
      </c>
    </row>
    <row r="29" spans="2:8" ht="15" x14ac:dyDescent="0.25">
      <c r="B29" s="40">
        <f>RANK('2kob.'!C28,'2kob.'!$C$3:'2kob.'!$C$28,1)+COUNTIF('2kob.'!$C$3:'2kob.'!C28,'2kob.'!C28)-1</f>
        <v>26</v>
      </c>
      <c r="C29" s="39" t="str">
        <f>INDEX('2kob.'!B3:G28,MATCH(26,B4:B29,0),1)</f>
        <v>województwo</v>
      </c>
      <c r="D29" s="40">
        <f>INDEX('2kob.'!B3:G28,MATCH(26,B4:B29,0),2)</f>
        <v>33663</v>
      </c>
      <c r="E29" s="44">
        <f>INDEX('2kob.'!B3:G28,MATCH(26,B4:B29,0),3)</f>
        <v>34582</v>
      </c>
      <c r="F29" s="40">
        <f>INDEX('2kob.'!B3:G28,MATCH(26,B4:B29,0),4)</f>
        <v>-919</v>
      </c>
      <c r="G29" s="44">
        <f>INDEX('2kob.'!B3:G28,MATCH(26,B4:B29,0),5)</f>
        <v>35950</v>
      </c>
      <c r="H29" s="40">
        <f>INDEX('2kob.'!B3:G28,MATCH(26,B4:B29,0),6)</f>
        <v>-2287</v>
      </c>
    </row>
  </sheetData>
  <pageMargins left="0" right="0" top="0.31496062992125984" bottom="0" header="0" footer="0"/>
  <pageSetup paperSize="9" scale="6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C00"/>
    <pageSetUpPr fitToPage="1"/>
  </sheetPr>
  <dimension ref="A1:M30"/>
  <sheetViews>
    <sheetView zoomScale="80" zoomScaleNormal="80" workbookViewId="0">
      <selection activeCell="B1" sqref="B1"/>
    </sheetView>
  </sheetViews>
  <sheetFormatPr defaultRowHeight="14.25" x14ac:dyDescent="0.2"/>
  <cols>
    <col min="1" max="1" width="3.7109375" style="3" customWidth="1"/>
    <col min="2" max="2" width="25.28515625" style="3" customWidth="1"/>
    <col min="3" max="3" width="17.42578125" style="3" customWidth="1"/>
    <col min="4" max="4" width="17.85546875" style="3" customWidth="1"/>
    <col min="5" max="5" width="17.140625" style="3" customWidth="1"/>
    <col min="6" max="6" width="17.28515625" style="3" customWidth="1"/>
    <col min="7" max="7" width="17.5703125" style="3" customWidth="1"/>
    <col min="8" max="8" width="4.140625" style="3" customWidth="1"/>
    <col min="9" max="9" width="24.5703125" style="3" hidden="1" customWidth="1"/>
    <col min="10" max="10" width="16" style="3" hidden="1" customWidth="1"/>
    <col min="11" max="11" width="17.42578125" style="3" hidden="1" customWidth="1"/>
    <col min="12" max="12" width="14.42578125" style="3" hidden="1" customWidth="1"/>
    <col min="13" max="13" width="3" style="3" hidden="1" customWidth="1"/>
    <col min="14" max="14" width="3" style="3" customWidth="1"/>
    <col min="15" max="16384" width="9.140625" style="3"/>
  </cols>
  <sheetData>
    <row r="1" spans="1:12" ht="23.25" customHeight="1" x14ac:dyDescent="0.2">
      <c r="B1" s="2" t="s">
        <v>31</v>
      </c>
      <c r="I1" s="2" t="s">
        <v>40</v>
      </c>
    </row>
    <row r="2" spans="1:12" ht="86.25" customHeight="1" x14ac:dyDescent="0.2">
      <c r="B2" s="36" t="s">
        <v>27</v>
      </c>
      <c r="C2" s="37" t="s">
        <v>83</v>
      </c>
      <c r="D2" s="38" t="s">
        <v>82</v>
      </c>
      <c r="E2" s="37" t="s">
        <v>28</v>
      </c>
      <c r="F2" s="38" t="s">
        <v>81</v>
      </c>
      <c r="G2" s="37" t="s">
        <v>26</v>
      </c>
      <c r="I2" s="36" t="s">
        <v>27</v>
      </c>
      <c r="J2" s="37" t="str">
        <f>T('1bezr.'!C2)</f>
        <v>liczba bezrobotnych ogółem stan na 30-04-'24 r.</v>
      </c>
      <c r="K2" s="37" t="str">
        <f>T(C2)</f>
        <v>liczba bezrobotnych zam. na wsi stan na 30-04-'24 r.</v>
      </c>
      <c r="L2" s="37" t="s">
        <v>47</v>
      </c>
    </row>
    <row r="3" spans="1:12" x14ac:dyDescent="0.2">
      <c r="A3" s="3">
        <v>1</v>
      </c>
      <c r="B3" s="5" t="s">
        <v>0</v>
      </c>
      <c r="C3" s="13">
        <v>674</v>
      </c>
      <c r="D3" s="42">
        <v>701</v>
      </c>
      <c r="E3" s="6">
        <f t="shared" ref="E3:E23" si="0">SUM(C3)-D3</f>
        <v>-27</v>
      </c>
      <c r="F3" s="42">
        <v>711</v>
      </c>
      <c r="G3" s="6">
        <f t="shared" ref="G3:G23" si="1">SUM(C3)-F3</f>
        <v>-37</v>
      </c>
      <c r="H3" s="7"/>
      <c r="I3" s="5" t="s">
        <v>0</v>
      </c>
      <c r="J3" s="6">
        <f>SUM('1bezr.'!C3)</f>
        <v>1039</v>
      </c>
      <c r="K3" s="6">
        <f>SUM(C3)</f>
        <v>674</v>
      </c>
      <c r="L3" s="8">
        <f t="shared" ref="L3:L23" si="2">SUM(K3)/J3*100</f>
        <v>64.870067372473528</v>
      </c>
    </row>
    <row r="4" spans="1:12" x14ac:dyDescent="0.2">
      <c r="A4" s="3">
        <v>2</v>
      </c>
      <c r="B4" s="5" t="s">
        <v>1</v>
      </c>
      <c r="C4" s="14">
        <v>3309</v>
      </c>
      <c r="D4" s="42">
        <v>3477</v>
      </c>
      <c r="E4" s="6">
        <f t="shared" si="0"/>
        <v>-168</v>
      </c>
      <c r="F4" s="42">
        <v>3504</v>
      </c>
      <c r="G4" s="6">
        <f t="shared" si="1"/>
        <v>-195</v>
      </c>
      <c r="H4" s="7"/>
      <c r="I4" s="5" t="s">
        <v>1</v>
      </c>
      <c r="J4" s="6">
        <f>SUM('1bezr.'!C4)</f>
        <v>3585</v>
      </c>
      <c r="K4" s="6">
        <f t="shared" ref="K4:K22" si="3">SUM(C4)</f>
        <v>3309</v>
      </c>
      <c r="L4" s="8">
        <f t="shared" si="2"/>
        <v>92.30125523012552</v>
      </c>
    </row>
    <row r="5" spans="1:12" x14ac:dyDescent="0.2">
      <c r="A5" s="3">
        <v>3</v>
      </c>
      <c r="B5" s="5" t="s">
        <v>2</v>
      </c>
      <c r="C5" s="15">
        <v>1432</v>
      </c>
      <c r="D5" s="42">
        <v>1503</v>
      </c>
      <c r="E5" s="6">
        <f t="shared" si="0"/>
        <v>-71</v>
      </c>
      <c r="F5" s="42">
        <v>1470</v>
      </c>
      <c r="G5" s="6">
        <f t="shared" si="1"/>
        <v>-38</v>
      </c>
      <c r="H5" s="7"/>
      <c r="I5" s="5" t="s">
        <v>2</v>
      </c>
      <c r="J5" s="6">
        <f>SUM('1bezr.'!C5)</f>
        <v>2394</v>
      </c>
      <c r="K5" s="6">
        <f t="shared" si="3"/>
        <v>1432</v>
      </c>
      <c r="L5" s="8">
        <f t="shared" si="2"/>
        <v>59.816207184628233</v>
      </c>
    </row>
    <row r="6" spans="1:12" x14ac:dyDescent="0.2">
      <c r="A6" s="3">
        <v>4</v>
      </c>
      <c r="B6" s="5" t="s">
        <v>3</v>
      </c>
      <c r="C6" s="15">
        <v>2630</v>
      </c>
      <c r="D6" s="42">
        <v>2771</v>
      </c>
      <c r="E6" s="6">
        <f t="shared" si="0"/>
        <v>-141</v>
      </c>
      <c r="F6" s="42">
        <v>2795</v>
      </c>
      <c r="G6" s="6">
        <f t="shared" si="1"/>
        <v>-165</v>
      </c>
      <c r="H6" s="7"/>
      <c r="I6" s="5" t="s">
        <v>3</v>
      </c>
      <c r="J6" s="6">
        <f>SUM('1bezr.'!C6)</f>
        <v>4276</v>
      </c>
      <c r="K6" s="6">
        <f t="shared" si="3"/>
        <v>2630</v>
      </c>
      <c r="L6" s="8">
        <f t="shared" si="2"/>
        <v>61.506080449017773</v>
      </c>
    </row>
    <row r="7" spans="1:12" x14ac:dyDescent="0.2">
      <c r="A7" s="3">
        <v>5</v>
      </c>
      <c r="B7" s="5" t="s">
        <v>4</v>
      </c>
      <c r="C7" s="15">
        <v>3479</v>
      </c>
      <c r="D7" s="42">
        <v>3655</v>
      </c>
      <c r="E7" s="6">
        <f t="shared" si="0"/>
        <v>-176</v>
      </c>
      <c r="F7" s="42">
        <v>3522</v>
      </c>
      <c r="G7" s="6">
        <f t="shared" si="1"/>
        <v>-43</v>
      </c>
      <c r="H7" s="7"/>
      <c r="I7" s="5" t="s">
        <v>4</v>
      </c>
      <c r="J7" s="6">
        <f>SUM('1bezr.'!C7)</f>
        <v>4902</v>
      </c>
      <c r="K7" s="6">
        <f t="shared" si="3"/>
        <v>3479</v>
      </c>
      <c r="L7" s="8">
        <f t="shared" si="2"/>
        <v>70.971032231742143</v>
      </c>
    </row>
    <row r="8" spans="1:12" x14ac:dyDescent="0.2">
      <c r="A8" s="3">
        <v>6</v>
      </c>
      <c r="B8" s="5" t="s">
        <v>5</v>
      </c>
      <c r="C8" s="15">
        <v>1328</v>
      </c>
      <c r="D8" s="42">
        <v>1368</v>
      </c>
      <c r="E8" s="6">
        <f t="shared" si="0"/>
        <v>-40</v>
      </c>
      <c r="F8" s="42">
        <v>1421</v>
      </c>
      <c r="G8" s="6">
        <f t="shared" si="1"/>
        <v>-93</v>
      </c>
      <c r="H8" s="7"/>
      <c r="I8" s="5" t="s">
        <v>5</v>
      </c>
      <c r="J8" s="6">
        <f>SUM('1bezr.'!C8)</f>
        <v>1525</v>
      </c>
      <c r="K8" s="6">
        <f t="shared" si="3"/>
        <v>1328</v>
      </c>
      <c r="L8" s="8">
        <f t="shared" si="2"/>
        <v>87.081967213114751</v>
      </c>
    </row>
    <row r="9" spans="1:12" x14ac:dyDescent="0.2">
      <c r="A9" s="3">
        <v>7</v>
      </c>
      <c r="B9" s="9" t="s">
        <v>6</v>
      </c>
      <c r="C9" s="16">
        <v>2074</v>
      </c>
      <c r="D9" s="42">
        <v>2161</v>
      </c>
      <c r="E9" s="6">
        <f t="shared" si="0"/>
        <v>-87</v>
      </c>
      <c r="F9" s="42">
        <v>1989</v>
      </c>
      <c r="G9" s="6">
        <f t="shared" si="1"/>
        <v>85</v>
      </c>
      <c r="H9" s="7"/>
      <c r="I9" s="9" t="s">
        <v>6</v>
      </c>
      <c r="J9" s="6">
        <f>SUM('1bezr.'!C9)</f>
        <v>2316</v>
      </c>
      <c r="K9" s="6">
        <f t="shared" si="3"/>
        <v>2074</v>
      </c>
      <c r="L9" s="8">
        <f t="shared" si="2"/>
        <v>89.550949913644217</v>
      </c>
    </row>
    <row r="10" spans="1:12" x14ac:dyDescent="0.2">
      <c r="A10" s="3">
        <v>8</v>
      </c>
      <c r="B10" s="5" t="s">
        <v>7</v>
      </c>
      <c r="C10" s="17">
        <v>1410</v>
      </c>
      <c r="D10" s="42">
        <v>1461</v>
      </c>
      <c r="E10" s="6">
        <f t="shared" si="0"/>
        <v>-51</v>
      </c>
      <c r="F10" s="42">
        <v>1435</v>
      </c>
      <c r="G10" s="6">
        <f>SUM(C10)-F10</f>
        <v>-25</v>
      </c>
      <c r="H10" s="7"/>
      <c r="I10" s="5" t="s">
        <v>7</v>
      </c>
      <c r="J10" s="6">
        <f>SUM('1bezr.'!C10)</f>
        <v>1676</v>
      </c>
      <c r="K10" s="6">
        <f>SUM(C10)</f>
        <v>1410</v>
      </c>
      <c r="L10" s="8">
        <f t="shared" si="2"/>
        <v>84.128878281622903</v>
      </c>
    </row>
    <row r="11" spans="1:12" x14ac:dyDescent="0.2">
      <c r="A11" s="3">
        <v>9</v>
      </c>
      <c r="B11" s="5" t="s">
        <v>8</v>
      </c>
      <c r="C11" s="17">
        <v>2308</v>
      </c>
      <c r="D11" s="42">
        <v>2392</v>
      </c>
      <c r="E11" s="6">
        <f t="shared" si="0"/>
        <v>-84</v>
      </c>
      <c r="F11" s="42">
        <v>2414</v>
      </c>
      <c r="G11" s="6">
        <f t="shared" si="1"/>
        <v>-106</v>
      </c>
      <c r="H11" s="7"/>
      <c r="I11" s="5" t="s">
        <v>8</v>
      </c>
      <c r="J11" s="6">
        <f>SUM('1bezr.'!C11)</f>
        <v>3042</v>
      </c>
      <c r="K11" s="6">
        <f t="shared" si="3"/>
        <v>2308</v>
      </c>
      <c r="L11" s="8">
        <f t="shared" si="2"/>
        <v>75.871137409598944</v>
      </c>
    </row>
    <row r="12" spans="1:12" x14ac:dyDescent="0.2">
      <c r="A12" s="3">
        <v>10</v>
      </c>
      <c r="B12" s="5" t="s">
        <v>9</v>
      </c>
      <c r="C12" s="17">
        <v>1082</v>
      </c>
      <c r="D12" s="42">
        <v>1167</v>
      </c>
      <c r="E12" s="6">
        <f t="shared" si="0"/>
        <v>-85</v>
      </c>
      <c r="F12" s="42">
        <v>1160</v>
      </c>
      <c r="G12" s="6">
        <f t="shared" si="1"/>
        <v>-78</v>
      </c>
      <c r="H12" s="7"/>
      <c r="I12" s="5" t="s">
        <v>9</v>
      </c>
      <c r="J12" s="6">
        <f>SUM('1bezr.'!C12)</f>
        <v>1656</v>
      </c>
      <c r="K12" s="6">
        <f t="shared" si="3"/>
        <v>1082</v>
      </c>
      <c r="L12" s="8">
        <f t="shared" si="2"/>
        <v>65.338164251207729</v>
      </c>
    </row>
    <row r="13" spans="1:12" x14ac:dyDescent="0.2">
      <c r="A13" s="3">
        <v>11</v>
      </c>
      <c r="B13" s="5" t="s">
        <v>10</v>
      </c>
      <c r="C13" s="17">
        <v>1956</v>
      </c>
      <c r="D13" s="42">
        <v>2060</v>
      </c>
      <c r="E13" s="6">
        <f t="shared" si="0"/>
        <v>-104</v>
      </c>
      <c r="F13" s="42">
        <v>2036</v>
      </c>
      <c r="G13" s="6">
        <f t="shared" si="1"/>
        <v>-80</v>
      </c>
      <c r="H13" s="7"/>
      <c r="I13" s="5" t="s">
        <v>10</v>
      </c>
      <c r="J13" s="6">
        <f>SUM('1bezr.'!C13)</f>
        <v>2501</v>
      </c>
      <c r="K13" s="6">
        <f t="shared" si="3"/>
        <v>1956</v>
      </c>
      <c r="L13" s="8">
        <f t="shared" si="2"/>
        <v>78.208716513394634</v>
      </c>
    </row>
    <row r="14" spans="1:12" x14ac:dyDescent="0.2">
      <c r="A14" s="3">
        <v>12</v>
      </c>
      <c r="B14" s="5" t="s">
        <v>11</v>
      </c>
      <c r="C14" s="17">
        <v>1454</v>
      </c>
      <c r="D14" s="42">
        <v>1496</v>
      </c>
      <c r="E14" s="6">
        <f t="shared" si="0"/>
        <v>-42</v>
      </c>
      <c r="F14" s="42">
        <v>1372</v>
      </c>
      <c r="G14" s="6">
        <f t="shared" si="1"/>
        <v>82</v>
      </c>
      <c r="H14" s="7"/>
      <c r="I14" s="5" t="s">
        <v>11</v>
      </c>
      <c r="J14" s="6">
        <f>SUM('1bezr.'!C14)</f>
        <v>2872</v>
      </c>
      <c r="K14" s="6">
        <f t="shared" si="3"/>
        <v>1454</v>
      </c>
      <c r="L14" s="8">
        <f t="shared" si="2"/>
        <v>50.626740947075213</v>
      </c>
    </row>
    <row r="15" spans="1:12" x14ac:dyDescent="0.2">
      <c r="A15" s="3">
        <v>13</v>
      </c>
      <c r="B15" s="5" t="s">
        <v>12</v>
      </c>
      <c r="C15" s="17">
        <v>1929</v>
      </c>
      <c r="D15" s="42">
        <v>1959</v>
      </c>
      <c r="E15" s="6">
        <f t="shared" si="0"/>
        <v>-30</v>
      </c>
      <c r="F15" s="42">
        <v>2009</v>
      </c>
      <c r="G15" s="6">
        <f t="shared" si="1"/>
        <v>-80</v>
      </c>
      <c r="H15" s="7"/>
      <c r="I15" s="5" t="s">
        <v>12</v>
      </c>
      <c r="J15" s="6">
        <f>SUM('1bezr.'!C15)</f>
        <v>2937</v>
      </c>
      <c r="K15" s="6">
        <f t="shared" si="3"/>
        <v>1929</v>
      </c>
      <c r="L15" s="8">
        <f t="shared" si="2"/>
        <v>65.67926455566905</v>
      </c>
    </row>
    <row r="16" spans="1:12" x14ac:dyDescent="0.2">
      <c r="A16" s="3">
        <v>14</v>
      </c>
      <c r="B16" s="5" t="s">
        <v>13</v>
      </c>
      <c r="C16" s="17">
        <v>2730</v>
      </c>
      <c r="D16" s="42">
        <v>2865</v>
      </c>
      <c r="E16" s="6">
        <f t="shared" si="0"/>
        <v>-135</v>
      </c>
      <c r="F16" s="42">
        <v>2924</v>
      </c>
      <c r="G16" s="6">
        <f t="shared" si="1"/>
        <v>-194</v>
      </c>
      <c r="H16" s="7"/>
      <c r="I16" s="5" t="s">
        <v>13</v>
      </c>
      <c r="J16" s="6">
        <f>SUM('1bezr.'!C16)</f>
        <v>2792</v>
      </c>
      <c r="K16" s="6">
        <f t="shared" si="3"/>
        <v>2730</v>
      </c>
      <c r="L16" s="8">
        <f t="shared" si="2"/>
        <v>97.779369627507165</v>
      </c>
    </row>
    <row r="17" spans="1:13" x14ac:dyDescent="0.2">
      <c r="A17" s="3">
        <v>15</v>
      </c>
      <c r="B17" s="5" t="s">
        <v>14</v>
      </c>
      <c r="C17" s="17">
        <v>2345</v>
      </c>
      <c r="D17" s="42">
        <v>2393</v>
      </c>
      <c r="E17" s="6">
        <f t="shared" si="0"/>
        <v>-48</v>
      </c>
      <c r="F17" s="42">
        <v>2670</v>
      </c>
      <c r="G17" s="6">
        <f t="shared" si="1"/>
        <v>-325</v>
      </c>
      <c r="H17" s="7"/>
      <c r="I17" s="5" t="s">
        <v>14</v>
      </c>
      <c r="J17" s="6">
        <f>SUM('1bezr.'!C17)</f>
        <v>3160</v>
      </c>
      <c r="K17" s="6">
        <f t="shared" si="3"/>
        <v>2345</v>
      </c>
      <c r="L17" s="8">
        <f t="shared" si="2"/>
        <v>74.20886075949366</v>
      </c>
      <c r="M17" s="10"/>
    </row>
    <row r="18" spans="1:13" x14ac:dyDescent="0.2">
      <c r="A18" s="3">
        <v>16</v>
      </c>
      <c r="B18" s="5" t="s">
        <v>15</v>
      </c>
      <c r="C18" s="17">
        <v>1741</v>
      </c>
      <c r="D18" s="42">
        <v>1685</v>
      </c>
      <c r="E18" s="6">
        <f t="shared" si="0"/>
        <v>56</v>
      </c>
      <c r="F18" s="42">
        <v>1699</v>
      </c>
      <c r="G18" s="6">
        <f t="shared" si="1"/>
        <v>42</v>
      </c>
      <c r="H18" s="7"/>
      <c r="I18" s="5" t="s">
        <v>15</v>
      </c>
      <c r="J18" s="6">
        <f>SUM('1bezr.'!C18)</f>
        <v>2695</v>
      </c>
      <c r="K18" s="6">
        <f t="shared" si="3"/>
        <v>1741</v>
      </c>
      <c r="L18" s="8">
        <f t="shared" si="2"/>
        <v>64.601113172541744</v>
      </c>
    </row>
    <row r="19" spans="1:13" x14ac:dyDescent="0.2">
      <c r="A19" s="3">
        <v>17</v>
      </c>
      <c r="B19" s="5" t="s">
        <v>16</v>
      </c>
      <c r="C19" s="17">
        <v>3645</v>
      </c>
      <c r="D19" s="42">
        <v>3740</v>
      </c>
      <c r="E19" s="6">
        <f t="shared" si="0"/>
        <v>-95</v>
      </c>
      <c r="F19" s="42">
        <v>3829</v>
      </c>
      <c r="G19" s="6">
        <f t="shared" si="1"/>
        <v>-184</v>
      </c>
      <c r="H19" s="7"/>
      <c r="I19" s="5" t="s">
        <v>16</v>
      </c>
      <c r="J19" s="6">
        <f>SUM('1bezr.'!C19)</f>
        <v>4604</v>
      </c>
      <c r="K19" s="6">
        <f t="shared" si="3"/>
        <v>3645</v>
      </c>
      <c r="L19" s="8">
        <f t="shared" si="2"/>
        <v>79.170286707211119</v>
      </c>
    </row>
    <row r="20" spans="1:13" x14ac:dyDescent="0.2">
      <c r="A20" s="3">
        <v>18</v>
      </c>
      <c r="B20" s="5" t="s">
        <v>17</v>
      </c>
      <c r="C20" s="17">
        <v>1597</v>
      </c>
      <c r="D20" s="42">
        <v>1692</v>
      </c>
      <c r="E20" s="6">
        <f t="shared" si="0"/>
        <v>-95</v>
      </c>
      <c r="F20" s="42">
        <v>1554</v>
      </c>
      <c r="G20" s="6">
        <f t="shared" si="1"/>
        <v>43</v>
      </c>
      <c r="H20" s="7"/>
      <c r="I20" s="5" t="s">
        <v>17</v>
      </c>
      <c r="J20" s="6">
        <f>SUM('1bezr.'!C20)</f>
        <v>2728</v>
      </c>
      <c r="K20" s="6">
        <f t="shared" si="3"/>
        <v>1597</v>
      </c>
      <c r="L20" s="8">
        <f t="shared" si="2"/>
        <v>58.541055718475079</v>
      </c>
    </row>
    <row r="21" spans="1:13" x14ac:dyDescent="0.2">
      <c r="A21" s="3">
        <v>19</v>
      </c>
      <c r="B21" s="5" t="s">
        <v>18</v>
      </c>
      <c r="C21" s="17">
        <v>774</v>
      </c>
      <c r="D21" s="42">
        <v>785</v>
      </c>
      <c r="E21" s="6">
        <f t="shared" si="0"/>
        <v>-11</v>
      </c>
      <c r="F21" s="42">
        <v>814</v>
      </c>
      <c r="G21" s="6">
        <f t="shared" si="1"/>
        <v>-40</v>
      </c>
      <c r="H21" s="7"/>
      <c r="I21" s="5" t="s">
        <v>18</v>
      </c>
      <c r="J21" s="6">
        <f>SUM('1bezr.'!C21)</f>
        <v>1959</v>
      </c>
      <c r="K21" s="6">
        <f t="shared" si="3"/>
        <v>774</v>
      </c>
      <c r="L21" s="8">
        <f t="shared" si="2"/>
        <v>39.509954058192953</v>
      </c>
    </row>
    <row r="22" spans="1:13" x14ac:dyDescent="0.2">
      <c r="A22" s="3">
        <v>20</v>
      </c>
      <c r="B22" s="5" t="s">
        <v>19</v>
      </c>
      <c r="C22" s="17">
        <v>2753</v>
      </c>
      <c r="D22" s="42">
        <v>2816</v>
      </c>
      <c r="E22" s="6">
        <f t="shared" si="0"/>
        <v>-63</v>
      </c>
      <c r="F22" s="42">
        <v>2855</v>
      </c>
      <c r="G22" s="6">
        <f t="shared" si="1"/>
        <v>-102</v>
      </c>
      <c r="H22" s="7"/>
      <c r="I22" s="5" t="s">
        <v>19</v>
      </c>
      <c r="J22" s="6">
        <f>SUM('1bezr.'!C22)</f>
        <v>3059</v>
      </c>
      <c r="K22" s="6">
        <f t="shared" si="3"/>
        <v>2753</v>
      </c>
      <c r="L22" s="8">
        <f t="shared" si="2"/>
        <v>89.996730957829357</v>
      </c>
    </row>
    <row r="23" spans="1:13" x14ac:dyDescent="0.2">
      <c r="A23" s="3">
        <v>21</v>
      </c>
      <c r="B23" s="5" t="s">
        <v>20</v>
      </c>
      <c r="C23" s="17">
        <v>1004</v>
      </c>
      <c r="D23" s="42">
        <v>1046</v>
      </c>
      <c r="E23" s="6">
        <f t="shared" si="0"/>
        <v>-42</v>
      </c>
      <c r="F23" s="42">
        <v>1029</v>
      </c>
      <c r="G23" s="6">
        <f t="shared" si="1"/>
        <v>-25</v>
      </c>
      <c r="H23" s="7"/>
      <c r="I23" s="5" t="s">
        <v>20</v>
      </c>
      <c r="J23" s="6">
        <f>SUM('1bezr.'!C23)</f>
        <v>1228</v>
      </c>
      <c r="K23" s="6">
        <f>SUM(C23)</f>
        <v>1004</v>
      </c>
      <c r="L23" s="8">
        <f t="shared" si="2"/>
        <v>81.758957654723133</v>
      </c>
    </row>
    <row r="24" spans="1:13" ht="15" x14ac:dyDescent="0.25">
      <c r="A24" s="3">
        <v>22</v>
      </c>
      <c r="B24" s="39" t="s">
        <v>25</v>
      </c>
      <c r="C24" s="40">
        <f>SUM(C3:C23)</f>
        <v>41654</v>
      </c>
      <c r="D24" s="44">
        <f>SUM(D3:D23)</f>
        <v>43193</v>
      </c>
      <c r="E24" s="40">
        <f>SUM(E3:E23)</f>
        <v>-1539</v>
      </c>
      <c r="F24" s="44">
        <f>SUM(F3:F23)</f>
        <v>43212</v>
      </c>
      <c r="G24" s="40">
        <f>SUM(G3:G23)</f>
        <v>-1558</v>
      </c>
      <c r="H24" s="7"/>
      <c r="I24" s="5" t="s">
        <v>21</v>
      </c>
      <c r="J24" s="6">
        <f>SUM('1bezr.'!C24)</f>
        <v>862</v>
      </c>
      <c r="K24" s="11" t="s">
        <v>29</v>
      </c>
      <c r="L24" s="12" t="s">
        <v>29</v>
      </c>
    </row>
    <row r="25" spans="1:13" x14ac:dyDescent="0.2">
      <c r="C25" s="35"/>
      <c r="I25" s="5" t="s">
        <v>22</v>
      </c>
      <c r="J25" s="6">
        <f>SUM('1bezr.'!C25)</f>
        <v>2314</v>
      </c>
      <c r="K25" s="11" t="s">
        <v>29</v>
      </c>
      <c r="L25" s="12" t="s">
        <v>29</v>
      </c>
    </row>
    <row r="26" spans="1:13" x14ac:dyDescent="0.2">
      <c r="I26" s="5" t="s">
        <v>23</v>
      </c>
      <c r="J26" s="6">
        <f>SUM('1bezr.'!C26)</f>
        <v>5039</v>
      </c>
      <c r="K26" s="11" t="s">
        <v>29</v>
      </c>
      <c r="L26" s="12" t="s">
        <v>29</v>
      </c>
    </row>
    <row r="27" spans="1:13" x14ac:dyDescent="0.2">
      <c r="I27" s="5" t="s">
        <v>24</v>
      </c>
      <c r="J27" s="6">
        <f>SUM('1bezr.'!C27)</f>
        <v>1086</v>
      </c>
      <c r="K27" s="11" t="s">
        <v>29</v>
      </c>
      <c r="L27" s="12" t="s">
        <v>29</v>
      </c>
    </row>
    <row r="28" spans="1:13" ht="15" x14ac:dyDescent="0.25">
      <c r="H28" s="7"/>
      <c r="I28" s="39" t="s">
        <v>25</v>
      </c>
      <c r="J28" s="40">
        <f>SUM(J3:J27)</f>
        <v>66247</v>
      </c>
      <c r="K28" s="40">
        <f>SUM(K3:K23)</f>
        <v>41654</v>
      </c>
      <c r="L28" s="46">
        <f>SUM(K28)/J28*100</f>
        <v>62.876809515902607</v>
      </c>
    </row>
    <row r="30" spans="1:13" x14ac:dyDescent="0.2">
      <c r="K30" s="19">
        <f>SUM(K28-J28)</f>
        <v>-24593</v>
      </c>
    </row>
  </sheetData>
  <printOptions horizontalCentered="1" verticalCentered="1"/>
  <pageMargins left="0" right="0" top="0" bottom="0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EE9B"/>
    <pageSetUpPr fitToPage="1"/>
  </sheetPr>
  <dimension ref="A1:H25"/>
  <sheetViews>
    <sheetView zoomScale="80" zoomScaleNormal="80" workbookViewId="0">
      <selection activeCell="B1" sqref="B1"/>
    </sheetView>
  </sheetViews>
  <sheetFormatPr defaultRowHeight="14.25" x14ac:dyDescent="0.2"/>
  <cols>
    <col min="1" max="1" width="3.42578125" style="3" customWidth="1"/>
    <col min="2" max="2" width="6.7109375" style="3" customWidth="1"/>
    <col min="3" max="3" width="23.5703125" style="3" customWidth="1"/>
    <col min="4" max="5" width="14.85546875" style="3" customWidth="1"/>
    <col min="6" max="6" width="17" style="3" customWidth="1"/>
    <col min="7" max="7" width="15.140625" style="3" customWidth="1"/>
    <col min="8" max="8" width="17.7109375" style="3" customWidth="1"/>
    <col min="9" max="9" width="5.140625" style="3" customWidth="1"/>
    <col min="10" max="18" width="9.140625" style="3"/>
    <col min="19" max="19" width="6.140625" style="3" customWidth="1"/>
    <col min="20" max="20" width="3.140625" style="3" customWidth="1"/>
    <col min="21" max="16384" width="9.140625" style="3"/>
  </cols>
  <sheetData>
    <row r="1" spans="1:8" x14ac:dyDescent="0.2">
      <c r="B1" s="2" t="s">
        <v>31</v>
      </c>
    </row>
    <row r="2" spans="1:8" ht="15" x14ac:dyDescent="0.2">
      <c r="C2" s="20"/>
      <c r="D2" s="21"/>
    </row>
    <row r="3" spans="1:8" ht="57" x14ac:dyDescent="0.2">
      <c r="B3" s="43" t="s">
        <v>42</v>
      </c>
      <c r="C3" s="36" t="str">
        <f>T('2kob.'!B2)</f>
        <v>powiaty</v>
      </c>
      <c r="D3" s="36" t="str">
        <f>T('2kob.'!C2)</f>
        <v>liczba bezrobotnych kobiet stan na 30-04-'24 r.</v>
      </c>
      <c r="E3" s="36" t="str">
        <f>T('2kob.'!D2)</f>
        <v>liczba bezrobotnych kobiet stan na 31-03-'24 r.</v>
      </c>
      <c r="F3" s="36" t="str">
        <f>T('2kob.'!E2)</f>
        <v>wzrost/spadek do poprzedniego  miesiąca</v>
      </c>
      <c r="G3" s="36" t="str">
        <f>T('2kob.'!F2)</f>
        <v>liczba bezrobotnych kobiet stan na 30-04-'23 r.</v>
      </c>
      <c r="H3" s="36" t="str">
        <f>T('2kob.'!G2)</f>
        <v>wzrost/spadek do analogicznego okresu ubr.</v>
      </c>
    </row>
    <row r="4" spans="1:8" x14ac:dyDescent="0.2">
      <c r="A4" s="3">
        <v>1</v>
      </c>
      <c r="B4" s="6">
        <f>RANK('3bezr. na wsi'!C3,'3bezr. na wsi'!$C$3:'3bezr. na wsi'!$C$28,1)+COUNTIF('3bezr. na wsi'!$C$3:'3bezr. na wsi'!C3,'3bezr. na wsi'!C3)-1</f>
        <v>1</v>
      </c>
      <c r="C4" s="5" t="str">
        <f>INDEX('3bezr. na wsi'!B3:G28,MATCH(1,B4:B25,0),1)</f>
        <v>bieszczadzki</v>
      </c>
      <c r="D4" s="24">
        <f>INDEX('3bezr. na wsi'!B3:G28,MATCH(1,B4:B25,0),2)</f>
        <v>674</v>
      </c>
      <c r="E4" s="42">
        <f>INDEX('3bezr. na wsi'!B3:G28,MATCH(1,B4:B25,0),3)</f>
        <v>701</v>
      </c>
      <c r="F4" s="6">
        <f>INDEX('3bezr. na wsi'!B3:G28,MATCH(1,B4:B25,0),4)</f>
        <v>-27</v>
      </c>
      <c r="G4" s="42">
        <f>INDEX('3bezr. na wsi'!B3:G28,MATCH(1,B4:B25,0),5)</f>
        <v>711</v>
      </c>
      <c r="H4" s="6">
        <f>INDEX('3bezr. na wsi'!B3:G28,MATCH(1,B4:B25,0),6)</f>
        <v>-37</v>
      </c>
    </row>
    <row r="5" spans="1:8" x14ac:dyDescent="0.2">
      <c r="A5" s="3">
        <v>2</v>
      </c>
      <c r="B5" s="6">
        <f>RANK('3bezr. na wsi'!C4,'3bezr. na wsi'!$C$3:'3bezr. na wsi'!$C$28,1)+COUNTIF('3bezr. na wsi'!$C$3:'3bezr. na wsi'!C4,'3bezr. na wsi'!C4)-1</f>
        <v>19</v>
      </c>
      <c r="C5" s="5" t="str">
        <f>INDEX('3bezr. na wsi'!B3:G28,MATCH(2,B4:B25,0),1)</f>
        <v>stalowowolski</v>
      </c>
      <c r="D5" s="6">
        <f>INDEX('3bezr. na wsi'!B3:G28,MATCH(2,B4:B25,0),2)</f>
        <v>774</v>
      </c>
      <c r="E5" s="42">
        <f>INDEX('3bezr. na wsi'!B3:G28,MATCH(2,B4:B25,0),3)</f>
        <v>785</v>
      </c>
      <c r="F5" s="6">
        <f>INDEX('3bezr. na wsi'!B3:G28,MATCH(2,B4:B25,0),4)</f>
        <v>-11</v>
      </c>
      <c r="G5" s="42">
        <f>INDEX('3bezr. na wsi'!B3:G28,MATCH(2,B4:B25,0),5)</f>
        <v>814</v>
      </c>
      <c r="H5" s="6">
        <f>INDEX('3bezr. na wsi'!B3:G28,MATCH(2,B4:B25,0),6)</f>
        <v>-40</v>
      </c>
    </row>
    <row r="6" spans="1:8" x14ac:dyDescent="0.2">
      <c r="A6" s="3">
        <v>3</v>
      </c>
      <c r="B6" s="6">
        <f>RANK('3bezr. na wsi'!C5,'3bezr. na wsi'!$C$3:'3bezr. na wsi'!$C$28,1)+COUNTIF('3bezr. na wsi'!$C$3:'3bezr. na wsi'!C5,'3bezr. na wsi'!C5)-1</f>
        <v>7</v>
      </c>
      <c r="C6" s="5" t="str">
        <f>INDEX('3bezr. na wsi'!B3:G28,MATCH(3,B4:B25,0),1)</f>
        <v xml:space="preserve">tarnobrzeski </v>
      </c>
      <c r="D6" s="6">
        <f>INDEX('3bezr. na wsi'!B3:G28,MATCH(3,B4:B25,0),2)</f>
        <v>1004</v>
      </c>
      <c r="E6" s="42">
        <f>INDEX('3bezr. na wsi'!B3:G28,MATCH(3,B4:B25,0),3)</f>
        <v>1046</v>
      </c>
      <c r="F6" s="6">
        <f>INDEX('3bezr. na wsi'!B3:G28,MATCH(3,B4:B25,0),4)</f>
        <v>-42</v>
      </c>
      <c r="G6" s="42">
        <f>INDEX('3bezr. na wsi'!B3:G28,MATCH(3,B4:B25,0),5)</f>
        <v>1029</v>
      </c>
      <c r="H6" s="6">
        <f>INDEX('3bezr. na wsi'!B3:G28,MATCH(3,B4:B25,0),6)</f>
        <v>-25</v>
      </c>
    </row>
    <row r="7" spans="1:8" x14ac:dyDescent="0.2">
      <c r="A7" s="3">
        <v>4</v>
      </c>
      <c r="B7" s="6">
        <f>RANK('3bezr. na wsi'!C6,'3bezr. na wsi'!$C$3:'3bezr. na wsi'!$C$28,1)+COUNTIF('3bezr. na wsi'!$C$3:'3bezr. na wsi'!C6,'3bezr. na wsi'!C6)-1</f>
        <v>16</v>
      </c>
      <c r="C7" s="5" t="str">
        <f>INDEX('3bezr. na wsi'!B3:G28,MATCH(4,B4:B25,0),1)</f>
        <v>lubaczowski</v>
      </c>
      <c r="D7" s="6">
        <f>INDEX('3bezr. na wsi'!B3:G28,MATCH(4,B4:B25,0),2)</f>
        <v>1082</v>
      </c>
      <c r="E7" s="42">
        <f>INDEX('3bezr. na wsi'!B3:G28,MATCH(4,B4:B25,0),3)</f>
        <v>1167</v>
      </c>
      <c r="F7" s="6">
        <f>INDEX('3bezr. na wsi'!B3:G28,MATCH(4,B4:B25,0),4)</f>
        <v>-85</v>
      </c>
      <c r="G7" s="42">
        <f>INDEX('3bezr. na wsi'!B3:G28,MATCH(4,B4:B25,0),5)</f>
        <v>1160</v>
      </c>
      <c r="H7" s="6">
        <f>INDEX('3bezr. na wsi'!B3:G28,MATCH(4,B4:B25,0),6)</f>
        <v>-78</v>
      </c>
    </row>
    <row r="8" spans="1:8" x14ac:dyDescent="0.2">
      <c r="A8" s="3">
        <v>5</v>
      </c>
      <c r="B8" s="6">
        <f>RANK('3bezr. na wsi'!C7,'3bezr. na wsi'!$C$3:'3bezr. na wsi'!$C$28,1)+COUNTIF('3bezr. na wsi'!$C$3:'3bezr. na wsi'!C7,'3bezr. na wsi'!C7)-1</f>
        <v>20</v>
      </c>
      <c r="C8" s="5" t="str">
        <f>INDEX('3bezr. na wsi'!B3:G28,MATCH(5,B4:B25,0),1)</f>
        <v>kolbuszowski</v>
      </c>
      <c r="D8" s="6">
        <f>INDEX('3bezr. na wsi'!B3:G28,MATCH(5,B4:B25,0),2)</f>
        <v>1328</v>
      </c>
      <c r="E8" s="42">
        <f>INDEX('3bezr. na wsi'!B3:G28,MATCH(5,B4:B25,0),3)</f>
        <v>1368</v>
      </c>
      <c r="F8" s="6">
        <f>INDEX('3bezr. na wsi'!B3:G28,MATCH(5,B4:B25,0),4)</f>
        <v>-40</v>
      </c>
      <c r="G8" s="42">
        <f>INDEX('3bezr. na wsi'!B3:G28,MATCH(5,B4:B25,0),5)</f>
        <v>1421</v>
      </c>
      <c r="H8" s="6">
        <f>INDEX('3bezr. na wsi'!B3:G28,MATCH(5,B4:B25,0),6)</f>
        <v>-93</v>
      </c>
    </row>
    <row r="9" spans="1:8" x14ac:dyDescent="0.2">
      <c r="A9" s="3">
        <v>6</v>
      </c>
      <c r="B9" s="6">
        <f>RANK('3bezr. na wsi'!C8,'3bezr. na wsi'!$C$3:'3bezr. na wsi'!$C$28,1)+COUNTIF('3bezr. na wsi'!$C$3:'3bezr. na wsi'!C8,'3bezr. na wsi'!C8)-1</f>
        <v>5</v>
      </c>
      <c r="C9" s="5" t="str">
        <f>INDEX('3bezr. na wsi'!B3:G28,MATCH(6,B4:B25,0),1)</f>
        <v>leski</v>
      </c>
      <c r="D9" s="6">
        <f>INDEX('3bezr. na wsi'!B3:G28,MATCH(6,B4:B25,0),2)</f>
        <v>1410</v>
      </c>
      <c r="E9" s="42">
        <f>INDEX('3bezr. na wsi'!B3:G28,MATCH(6,B4:B25,0),3)</f>
        <v>1461</v>
      </c>
      <c r="F9" s="6">
        <f>INDEX('3bezr. na wsi'!B3:G28,MATCH(6,B4:B25,0),4)</f>
        <v>-51</v>
      </c>
      <c r="G9" s="42">
        <f>INDEX('3bezr. na wsi'!B3:G28,MATCH(6,B4:B25,0),5)</f>
        <v>1435</v>
      </c>
      <c r="H9" s="6">
        <f>INDEX('3bezr. na wsi'!B3:G28,MATCH(6,B4:B25,0),6)</f>
        <v>-25</v>
      </c>
    </row>
    <row r="10" spans="1:8" x14ac:dyDescent="0.2">
      <c r="A10" s="3">
        <v>7</v>
      </c>
      <c r="B10" s="6">
        <f>RANK('3bezr. na wsi'!C9,'3bezr. na wsi'!$C$3:'3bezr. na wsi'!$C$28,1)+COUNTIF('3bezr. na wsi'!$C$3:'3bezr. na wsi'!C9,'3bezr. na wsi'!C9)-1</f>
        <v>13</v>
      </c>
      <c r="C10" s="9" t="str">
        <f>INDEX('3bezr. na wsi'!B3:G28,MATCH(7,B4:B25,0),1)</f>
        <v>dębicki</v>
      </c>
      <c r="D10" s="6">
        <f>INDEX('3bezr. na wsi'!B3:G28,MATCH(7,B4:B25,0),2)</f>
        <v>1432</v>
      </c>
      <c r="E10" s="42">
        <f>INDEX('3bezr. na wsi'!B3:G28,MATCH(7,B4:B25,0),3)</f>
        <v>1503</v>
      </c>
      <c r="F10" s="6">
        <f>INDEX('3bezr. na wsi'!B3:G28,MATCH(7,B4:B25,0),4)</f>
        <v>-71</v>
      </c>
      <c r="G10" s="42">
        <f>INDEX('3bezr. na wsi'!B3:G28,MATCH(7,B4:B25,0),5)</f>
        <v>1470</v>
      </c>
      <c r="H10" s="6">
        <f>INDEX('3bezr. na wsi'!B3:G28,MATCH(7,B4:B25,0),6)</f>
        <v>-38</v>
      </c>
    </row>
    <row r="11" spans="1:8" x14ac:dyDescent="0.2">
      <c r="A11" s="3">
        <v>8</v>
      </c>
      <c r="B11" s="6">
        <f>RANK('3bezr. na wsi'!C10,'3bezr. na wsi'!$C$3:'3bezr. na wsi'!$C$28,1)+COUNTIF('3bezr. na wsi'!$C$3:'3bezr. na wsi'!C10,'3bezr. na wsi'!C10)-1</f>
        <v>6</v>
      </c>
      <c r="C11" s="5" t="str">
        <f>INDEX('3bezr. na wsi'!B3:G28,MATCH(8,B4:B25,0),1)</f>
        <v>mielecki</v>
      </c>
      <c r="D11" s="6">
        <f>INDEX('3bezr. na wsi'!B3:G28,MATCH(8,B4:B25,0),2)</f>
        <v>1454</v>
      </c>
      <c r="E11" s="42">
        <f>INDEX('3bezr. na wsi'!B3:G28,MATCH(8,B4:B25,0),3)</f>
        <v>1496</v>
      </c>
      <c r="F11" s="6">
        <f>INDEX('3bezr. na wsi'!B3:G28,MATCH(8,B4:B25,0),4)</f>
        <v>-42</v>
      </c>
      <c r="G11" s="42">
        <f>INDEX('3bezr. na wsi'!B3:G28,MATCH(8,B4:B25,0),5)</f>
        <v>1372</v>
      </c>
      <c r="H11" s="6">
        <f>INDEX('3bezr. na wsi'!B3:G28,MATCH(8,B4:B25,0),6)</f>
        <v>82</v>
      </c>
    </row>
    <row r="12" spans="1:8" x14ac:dyDescent="0.2">
      <c r="A12" s="3">
        <v>9</v>
      </c>
      <c r="B12" s="6">
        <f>RANK('3bezr. na wsi'!C11,'3bezr. na wsi'!$C$3:'3bezr. na wsi'!$C$28,1)+COUNTIF('3bezr. na wsi'!$C$3:'3bezr. na wsi'!C11,'3bezr. na wsi'!C11)-1</f>
        <v>14</v>
      </c>
      <c r="C12" s="5" t="str">
        <f>INDEX('3bezr. na wsi'!B3:G28,MATCH(9,B4:B25,0),1)</f>
        <v>sanocki</v>
      </c>
      <c r="D12" s="6">
        <f>INDEX('3bezr. na wsi'!B3:G28,MATCH(9,B4:B25,0),2)</f>
        <v>1597</v>
      </c>
      <c r="E12" s="42">
        <f>INDEX('3bezr. na wsi'!B3:G28,MATCH(9,B4:B25,0),3)</f>
        <v>1692</v>
      </c>
      <c r="F12" s="6">
        <f>INDEX('3bezr. na wsi'!B3:G28,MATCH(9,B4:B25,0),4)</f>
        <v>-95</v>
      </c>
      <c r="G12" s="42">
        <f>INDEX('3bezr. na wsi'!B3:G28,MATCH(9,B4:B25,0),5)</f>
        <v>1554</v>
      </c>
      <c r="H12" s="6">
        <f>INDEX('3bezr. na wsi'!B3:G28,MATCH(9,B4:B25,0),6)</f>
        <v>43</v>
      </c>
    </row>
    <row r="13" spans="1:8" x14ac:dyDescent="0.2">
      <c r="A13" s="3">
        <v>10</v>
      </c>
      <c r="B13" s="6">
        <f>RANK('3bezr. na wsi'!C12,'3bezr. na wsi'!$C$3:'3bezr. na wsi'!$C$28,1)+COUNTIF('3bezr. na wsi'!$C$3:'3bezr. na wsi'!C12,'3bezr. na wsi'!C12)-1</f>
        <v>4</v>
      </c>
      <c r="C13" s="5" t="str">
        <f>INDEX('3bezr. na wsi'!B3:G28,MATCH(10,B4:B25,0),1)</f>
        <v>ropczycko-sędziszowski</v>
      </c>
      <c r="D13" s="6">
        <f>INDEX('3bezr. na wsi'!B3:G28,MATCH(10,B4:B25,0),2)</f>
        <v>1741</v>
      </c>
      <c r="E13" s="42">
        <f>INDEX('3bezr. na wsi'!B3:G28,MATCH(10,B4:B25,0),3)</f>
        <v>1685</v>
      </c>
      <c r="F13" s="6">
        <f>INDEX('3bezr. na wsi'!B3:G28,MATCH(10,B4:B25,0),4)</f>
        <v>56</v>
      </c>
      <c r="G13" s="42">
        <f>INDEX('3bezr. na wsi'!B3:G28,MATCH(10,B4:B25,0),5)</f>
        <v>1699</v>
      </c>
      <c r="H13" s="6">
        <f>INDEX('3bezr. na wsi'!B3:G28,MATCH(10,B4:B25,0),6)</f>
        <v>42</v>
      </c>
    </row>
    <row r="14" spans="1:8" x14ac:dyDescent="0.2">
      <c r="A14" s="3">
        <v>11</v>
      </c>
      <c r="B14" s="6">
        <f>RANK('3bezr. na wsi'!C13,'3bezr. na wsi'!$C$3:'3bezr. na wsi'!$C$28,1)+COUNTIF('3bezr. na wsi'!$C$3:'3bezr. na wsi'!C13,'3bezr. na wsi'!C13)-1</f>
        <v>12</v>
      </c>
      <c r="C14" s="5" t="str">
        <f>INDEX('3bezr. na wsi'!B3:G28,MATCH(11,B4:B25,0),1)</f>
        <v>niżański</v>
      </c>
      <c r="D14" s="6">
        <f>INDEX('3bezr. na wsi'!B3:G28,MATCH(11,B4:B25,0),2)</f>
        <v>1929</v>
      </c>
      <c r="E14" s="42">
        <f>INDEX('3bezr. na wsi'!B3:G28,MATCH(11,B4:B25,0),3)</f>
        <v>1959</v>
      </c>
      <c r="F14" s="6">
        <f>INDEX('3bezr. na wsi'!B3:G28,MATCH(11,B4:B25,0),4)</f>
        <v>-30</v>
      </c>
      <c r="G14" s="42">
        <f>INDEX('3bezr. na wsi'!B3:G28,MATCH(11,B4:B25,0),5)</f>
        <v>2009</v>
      </c>
      <c r="H14" s="6">
        <f>INDEX('3bezr. na wsi'!B3:G28,MATCH(11,B4:B25,0),6)</f>
        <v>-80</v>
      </c>
    </row>
    <row r="15" spans="1:8" x14ac:dyDescent="0.2">
      <c r="A15" s="3">
        <v>12</v>
      </c>
      <c r="B15" s="6">
        <f>RANK('3bezr. na wsi'!C14,'3bezr. na wsi'!$C$3:'3bezr. na wsi'!$C$28,1)+COUNTIF('3bezr. na wsi'!$C$3:'3bezr. na wsi'!C14,'3bezr. na wsi'!C14)-1</f>
        <v>8</v>
      </c>
      <c r="C15" s="5" t="str">
        <f>INDEX('3bezr. na wsi'!B3:G28,MATCH(12,B4:B25,0),1)</f>
        <v>łańcucki</v>
      </c>
      <c r="D15" s="6">
        <f>INDEX('3bezr. na wsi'!B3:G28,MATCH(12,B4:B25,0),2)</f>
        <v>1956</v>
      </c>
      <c r="E15" s="42">
        <f>INDEX('3bezr. na wsi'!B3:G28,MATCH(12,B4:B25,0),3)</f>
        <v>2060</v>
      </c>
      <c r="F15" s="6">
        <f>INDEX('3bezr. na wsi'!B3:G28,MATCH(12,B4:B25,0),4)</f>
        <v>-104</v>
      </c>
      <c r="G15" s="42">
        <f>INDEX('3bezr. na wsi'!B3:G28,MATCH(12,B4:B25,0),5)</f>
        <v>2036</v>
      </c>
      <c r="H15" s="6">
        <f>INDEX('3bezr. na wsi'!B3:G28,MATCH(12,B4:B25,0),6)</f>
        <v>-80</v>
      </c>
    </row>
    <row r="16" spans="1:8" x14ac:dyDescent="0.2">
      <c r="A16" s="3">
        <v>13</v>
      </c>
      <c r="B16" s="6">
        <f>RANK('3bezr. na wsi'!C15,'3bezr. na wsi'!$C$3:'3bezr. na wsi'!$C$28,1)+COUNTIF('3bezr. na wsi'!$C$3:'3bezr. na wsi'!C15,'3bezr. na wsi'!C15)-1</f>
        <v>11</v>
      </c>
      <c r="C16" s="5" t="str">
        <f>INDEX('3bezr. na wsi'!B3:G28,MATCH(13,B4:B25,0),1)</f>
        <v>krośnieński</v>
      </c>
      <c r="D16" s="6">
        <f>INDEX('3bezr. na wsi'!B3:G28,MATCH(13,B4:B25,0),2)</f>
        <v>2074</v>
      </c>
      <c r="E16" s="42">
        <f>INDEX('3bezr. na wsi'!B3:G28,MATCH(13,B4:B25,0),3)</f>
        <v>2161</v>
      </c>
      <c r="F16" s="6">
        <f>INDEX('3bezr. na wsi'!B3:G28,MATCH(13,B4:B25,0),4)</f>
        <v>-87</v>
      </c>
      <c r="G16" s="42">
        <f>INDEX('3bezr. na wsi'!B3:G28,MATCH(13,B4:B25,0),5)</f>
        <v>1989</v>
      </c>
      <c r="H16" s="6">
        <f>INDEX('3bezr. na wsi'!B3:G28,MATCH(13,B4:B25,0),6)</f>
        <v>85</v>
      </c>
    </row>
    <row r="17" spans="1:8" x14ac:dyDescent="0.2">
      <c r="A17" s="3">
        <v>14</v>
      </c>
      <c r="B17" s="6">
        <f>RANK('3bezr. na wsi'!C16,'3bezr. na wsi'!$C$3:'3bezr. na wsi'!$C$28,1)+COUNTIF('3bezr. na wsi'!$C$3:'3bezr. na wsi'!C16,'3bezr. na wsi'!C16)-1</f>
        <v>17</v>
      </c>
      <c r="C17" s="5" t="str">
        <f>INDEX('3bezr. na wsi'!B3:G28,MATCH(14,B4:B25,0),1)</f>
        <v>leżajski</v>
      </c>
      <c r="D17" s="6">
        <f>INDEX('3bezr. na wsi'!B3:G28,MATCH(14,B4:B25,0),2)</f>
        <v>2308</v>
      </c>
      <c r="E17" s="42">
        <f>INDEX('3bezr. na wsi'!B3:G28,MATCH(14,B4:B25,0),3)</f>
        <v>2392</v>
      </c>
      <c r="F17" s="6">
        <f>INDEX('3bezr. na wsi'!B3:G28,MATCH(14,B4:B25,0),4)</f>
        <v>-84</v>
      </c>
      <c r="G17" s="42">
        <f>INDEX('3bezr. na wsi'!B3:G28,MATCH(14,B4:B25,0),5)</f>
        <v>2414</v>
      </c>
      <c r="H17" s="6">
        <f>INDEX('3bezr. na wsi'!B3:G28,MATCH(14,B4:B25,0),6)</f>
        <v>-106</v>
      </c>
    </row>
    <row r="18" spans="1:8" x14ac:dyDescent="0.2">
      <c r="A18" s="3">
        <v>15</v>
      </c>
      <c r="B18" s="6">
        <f>RANK('3bezr. na wsi'!C17,'3bezr. na wsi'!$C$3:'3bezr. na wsi'!$C$28,1)+COUNTIF('3bezr. na wsi'!$C$3:'3bezr. na wsi'!C17,'3bezr. na wsi'!C17)-1</f>
        <v>15</v>
      </c>
      <c r="C18" s="5" t="str">
        <f>INDEX('3bezr. na wsi'!B3:G28,MATCH(15,B4:B25,0),1)</f>
        <v>przeworski</v>
      </c>
      <c r="D18" s="6">
        <f>INDEX('3bezr. na wsi'!B3:G28,MATCH(15,B4:B25,0),2)</f>
        <v>2345</v>
      </c>
      <c r="E18" s="42">
        <f>INDEX('3bezr. na wsi'!B3:G28,MATCH(15,B4:B25,0),3)</f>
        <v>2393</v>
      </c>
      <c r="F18" s="6">
        <f>INDEX('3bezr. na wsi'!B3:G28,MATCH(15,B4:B25,0),4)</f>
        <v>-48</v>
      </c>
      <c r="G18" s="42">
        <f>INDEX('3bezr. na wsi'!B3:G28,MATCH(15,B4:B25,0),5)</f>
        <v>2670</v>
      </c>
      <c r="H18" s="6">
        <f>INDEX('3bezr. na wsi'!B3:G28,MATCH(15,B4:B25,0),6)</f>
        <v>-325</v>
      </c>
    </row>
    <row r="19" spans="1:8" x14ac:dyDescent="0.2">
      <c r="A19" s="3">
        <v>16</v>
      </c>
      <c r="B19" s="6">
        <f>RANK('3bezr. na wsi'!C18,'3bezr. na wsi'!$C$3:'3bezr. na wsi'!$C$28,1)+COUNTIF('3bezr. na wsi'!$C$3:'3bezr. na wsi'!C18,'3bezr. na wsi'!C18)-1</f>
        <v>10</v>
      </c>
      <c r="C19" s="5" t="str">
        <f>INDEX('3bezr. na wsi'!B3:G28,MATCH(16,B4:B25,0),1)</f>
        <v>jarosławski</v>
      </c>
      <c r="D19" s="6">
        <f>INDEX('3bezr. na wsi'!B3:G28,MATCH(16,B4:B25,0),2)</f>
        <v>2630</v>
      </c>
      <c r="E19" s="42">
        <f>INDEX('3bezr. na wsi'!B3:G28,MATCH(16,B4:B25,0),3)</f>
        <v>2771</v>
      </c>
      <c r="F19" s="6">
        <f>INDEX('3bezr. na wsi'!B3:G28,MATCH(16,B4:B25,0),4)</f>
        <v>-141</v>
      </c>
      <c r="G19" s="42">
        <f>INDEX('3bezr. na wsi'!B3:G28,MATCH(16,B4:B25,0),5)</f>
        <v>2795</v>
      </c>
      <c r="H19" s="6">
        <f>INDEX('3bezr. na wsi'!B3:G28,MATCH(16,B4:B25,0),6)</f>
        <v>-165</v>
      </c>
    </row>
    <row r="20" spans="1:8" x14ac:dyDescent="0.2">
      <c r="A20" s="3">
        <v>17</v>
      </c>
      <c r="B20" s="6">
        <f>RANK('3bezr. na wsi'!C19,'3bezr. na wsi'!$C$3:'3bezr. na wsi'!$C$28,1)+COUNTIF('3bezr. na wsi'!$C$3:'3bezr. na wsi'!C19,'3bezr. na wsi'!C19)-1</f>
        <v>21</v>
      </c>
      <c r="C20" s="5" t="str">
        <f>INDEX('3bezr. na wsi'!B3:G28,MATCH(17,B4:B25,0),1)</f>
        <v>przemyski</v>
      </c>
      <c r="D20" s="6">
        <f>INDEX('3bezr. na wsi'!B3:G28,MATCH(17,B4:B25,0),2)</f>
        <v>2730</v>
      </c>
      <c r="E20" s="42">
        <f>INDEX('3bezr. na wsi'!B3:G28,MATCH(17,B4:B25,0),3)</f>
        <v>2865</v>
      </c>
      <c r="F20" s="6">
        <f>INDEX('3bezr. na wsi'!B3:G28,MATCH(17,B4:B25,0),4)</f>
        <v>-135</v>
      </c>
      <c r="G20" s="42">
        <f>INDEX('3bezr. na wsi'!B3:G28,MATCH(17,B4:B25,0),5)</f>
        <v>2924</v>
      </c>
      <c r="H20" s="6">
        <f>INDEX('3bezr. na wsi'!B3:G28,MATCH(17,B4:B25,0),6)</f>
        <v>-194</v>
      </c>
    </row>
    <row r="21" spans="1:8" x14ac:dyDescent="0.2">
      <c r="A21" s="3">
        <v>18</v>
      </c>
      <c r="B21" s="6">
        <f>RANK('3bezr. na wsi'!C20,'3bezr. na wsi'!$C$3:'3bezr. na wsi'!$C$28,1)+COUNTIF('3bezr. na wsi'!$C$3:'3bezr. na wsi'!C20,'3bezr. na wsi'!C20)-1</f>
        <v>9</v>
      </c>
      <c r="C21" s="5" t="str">
        <f>INDEX('3bezr. na wsi'!B3:G28,MATCH(18,B4:B25,0),1)</f>
        <v>strzyżowski</v>
      </c>
      <c r="D21" s="6">
        <f>INDEX('3bezr. na wsi'!B3:G28,MATCH(18,B4:B25,0),2)</f>
        <v>2753</v>
      </c>
      <c r="E21" s="42">
        <f>INDEX('3bezr. na wsi'!B3:G28,MATCH(18,B4:B25,0),3)</f>
        <v>2816</v>
      </c>
      <c r="F21" s="6">
        <f>INDEX('3bezr. na wsi'!B3:G28,MATCH(18,B4:B25,0),4)</f>
        <v>-63</v>
      </c>
      <c r="G21" s="42">
        <f>INDEX('3bezr. na wsi'!B3:G28,MATCH(18,B4:B25,0),5)</f>
        <v>2855</v>
      </c>
      <c r="H21" s="6">
        <f>INDEX('3bezr. na wsi'!B3:G28,MATCH(18,B4:B25,0),6)</f>
        <v>-102</v>
      </c>
    </row>
    <row r="22" spans="1:8" x14ac:dyDescent="0.2">
      <c r="A22" s="3">
        <v>19</v>
      </c>
      <c r="B22" s="6">
        <f>RANK('3bezr. na wsi'!C21,'3bezr. na wsi'!$C$3:'3bezr. na wsi'!$C$28,1)+COUNTIF('3bezr. na wsi'!$C$3:'3bezr. na wsi'!C21,'3bezr. na wsi'!C21)-1</f>
        <v>2</v>
      </c>
      <c r="C22" s="5" t="str">
        <f>INDEX('3bezr. na wsi'!B3:G28,MATCH(19,B4:B25,0),1)</f>
        <v>brzozowski</v>
      </c>
      <c r="D22" s="6">
        <f>INDEX('3bezr. na wsi'!B3:G28,MATCH(19,B4:B25,0),2)</f>
        <v>3309</v>
      </c>
      <c r="E22" s="42">
        <f>INDEX('3bezr. na wsi'!B3:G28,MATCH(19,B4:B25,0),3)</f>
        <v>3477</v>
      </c>
      <c r="F22" s="6">
        <f>INDEX('3bezr. na wsi'!B3:G28,MATCH(19,B4:B25,0),4)</f>
        <v>-168</v>
      </c>
      <c r="G22" s="42">
        <f>INDEX('3bezr. na wsi'!B3:G28,MATCH(19,B4:B25,0),5)</f>
        <v>3504</v>
      </c>
      <c r="H22" s="6">
        <f>INDEX('3bezr. na wsi'!B3:G28,MATCH(19,B4:B25,0),6)</f>
        <v>-195</v>
      </c>
    </row>
    <row r="23" spans="1:8" x14ac:dyDescent="0.2">
      <c r="A23" s="3">
        <v>20</v>
      </c>
      <c r="B23" s="6">
        <f>RANK('3bezr. na wsi'!C22,'3bezr. na wsi'!$C$3:'3bezr. na wsi'!$C$28,1)+COUNTIF('3bezr. na wsi'!$C$3:'3bezr. na wsi'!C22,'3bezr. na wsi'!C22)-1</f>
        <v>18</v>
      </c>
      <c r="C23" s="5" t="str">
        <f>INDEX('3bezr. na wsi'!B3:G28,MATCH(20,B4:B25,0),1)</f>
        <v>jasielski</v>
      </c>
      <c r="D23" s="6">
        <f>INDEX('3bezr. na wsi'!B3:G28,MATCH(20,B4:B25,0),2)</f>
        <v>3479</v>
      </c>
      <c r="E23" s="42">
        <f>INDEX('3bezr. na wsi'!B3:G28,MATCH(20,B4:B25,0),3)</f>
        <v>3655</v>
      </c>
      <c r="F23" s="6">
        <f>INDEX('3bezr. na wsi'!B3:G28,MATCH(20,B4:B25,0),4)</f>
        <v>-176</v>
      </c>
      <c r="G23" s="42">
        <f>INDEX('3bezr. na wsi'!B3:G28,MATCH(20,B4:B25,0),5)</f>
        <v>3522</v>
      </c>
      <c r="H23" s="6">
        <f>INDEX('3bezr. na wsi'!B3:G28,MATCH(20,B4:B25,0),6)</f>
        <v>-43</v>
      </c>
    </row>
    <row r="24" spans="1:8" x14ac:dyDescent="0.2">
      <c r="A24" s="3">
        <v>21</v>
      </c>
      <c r="B24" s="6">
        <f>RANK('3bezr. na wsi'!C23,'3bezr. na wsi'!$C$3:'3bezr. na wsi'!$C$28,1)+COUNTIF('3bezr. na wsi'!$C$3:'3bezr. na wsi'!C23,'3bezr. na wsi'!C23)-1</f>
        <v>3</v>
      </c>
      <c r="C24" s="5" t="str">
        <f>INDEX('3bezr. na wsi'!B3:G28,MATCH(21,B4:B25,0),1)</f>
        <v>rzeszowski</v>
      </c>
      <c r="D24" s="6">
        <f>INDEX('3bezr. na wsi'!B3:G28,MATCH(21,B4:B25,0),2)</f>
        <v>3645</v>
      </c>
      <c r="E24" s="42">
        <f>INDEX('3bezr. na wsi'!B3:G28,MATCH(21,B4:B25,0),3)</f>
        <v>3740</v>
      </c>
      <c r="F24" s="6">
        <f>INDEX('3bezr. na wsi'!B3:G28,MATCH(21,B4:B25,0),4)</f>
        <v>-95</v>
      </c>
      <c r="G24" s="42">
        <f>INDEX('3bezr. na wsi'!B3:G28,MATCH(21,B4:B25,0),5)</f>
        <v>3829</v>
      </c>
      <c r="H24" s="6">
        <f>INDEX('3bezr. na wsi'!B3:G28,MATCH(21,B4:B25,0),6)</f>
        <v>-184</v>
      </c>
    </row>
    <row r="25" spans="1:8" ht="15" x14ac:dyDescent="0.25">
      <c r="A25" s="3">
        <v>22</v>
      </c>
      <c r="B25" s="40">
        <f>RANK('3bezr. na wsi'!C24,'3bezr. na wsi'!$C$3:'3bezr. na wsi'!$C$28,1)+COUNTIF('3bezr. na wsi'!$C$3:'3bezr. na wsi'!C24,'3bezr. na wsi'!C24)-1</f>
        <v>22</v>
      </c>
      <c r="C25" s="47" t="str">
        <f>INDEX('3bezr. na wsi'!B3:G28,MATCH(22,B4:B25,0),1)</f>
        <v>województwo</v>
      </c>
      <c r="D25" s="40">
        <f>INDEX('3bezr. na wsi'!B3:G28,MATCH(22,B4:B25,0),2)</f>
        <v>41654</v>
      </c>
      <c r="E25" s="44">
        <f>INDEX('3bezr. na wsi'!B3:G28,MATCH(22,B4:B25,0),3)</f>
        <v>43193</v>
      </c>
      <c r="F25" s="40">
        <f>INDEX('3bezr. na wsi'!B3:G28,MATCH(22,B4:B25,0),4)</f>
        <v>-1539</v>
      </c>
      <c r="G25" s="44">
        <f>INDEX('3bezr. na wsi'!B3:G28,MATCH(22,B4:B25,0),5)</f>
        <v>43212</v>
      </c>
      <c r="H25" s="40">
        <f>INDEX('3bezr. na wsi'!B3:G28,MATCH(22,B4:B25,0),6)</f>
        <v>-1558</v>
      </c>
    </row>
  </sheetData>
  <pageMargins left="0" right="0" top="0.31496062992125984" bottom="0" header="0" footer="0"/>
  <pageSetup paperSize="9" scale="6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D700"/>
    <pageSetUpPr fitToPage="1"/>
  </sheetPr>
  <dimension ref="B1:H32"/>
  <sheetViews>
    <sheetView zoomScale="90" zoomScaleNormal="9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24.85546875" style="3" customWidth="1"/>
    <col min="3" max="3" width="19.140625" style="3" customWidth="1"/>
    <col min="4" max="4" width="18.7109375" style="3" customWidth="1"/>
    <col min="5" max="5" width="17.5703125" style="3" customWidth="1"/>
    <col min="6" max="6" width="19.28515625" style="3" customWidth="1"/>
    <col min="7" max="7" width="17.28515625" style="3" customWidth="1"/>
    <col min="8" max="8" width="9.140625" style="3"/>
    <col min="9" max="13" width="0" style="3" hidden="1" customWidth="1"/>
    <col min="14" max="16384" width="9.140625" style="3"/>
  </cols>
  <sheetData>
    <row r="1" spans="2:8" ht="19.5" customHeight="1" x14ac:dyDescent="0.2">
      <c r="B1" s="1" t="s">
        <v>35</v>
      </c>
      <c r="C1" s="25"/>
      <c r="D1" s="25"/>
      <c r="E1" s="25"/>
      <c r="F1" s="25"/>
      <c r="G1" s="25"/>
    </row>
    <row r="2" spans="2:8" ht="58.5" x14ac:dyDescent="0.2">
      <c r="B2" s="36" t="s">
        <v>27</v>
      </c>
      <c r="C2" s="37" t="s">
        <v>93</v>
      </c>
      <c r="D2" s="38" t="s">
        <v>94</v>
      </c>
      <c r="E2" s="37" t="s">
        <v>28</v>
      </c>
      <c r="F2" s="38" t="s">
        <v>92</v>
      </c>
      <c r="G2" s="37" t="s">
        <v>26</v>
      </c>
    </row>
    <row r="3" spans="2:8" x14ac:dyDescent="0.2">
      <c r="B3" s="5" t="s">
        <v>0</v>
      </c>
      <c r="C3" s="6">
        <v>605</v>
      </c>
      <c r="D3" s="42">
        <v>613</v>
      </c>
      <c r="E3" s="6">
        <f t="shared" ref="E3:E26" si="0">SUM(C3)-D3</f>
        <v>-8</v>
      </c>
      <c r="F3" s="42">
        <v>642</v>
      </c>
      <c r="G3" s="6">
        <f t="shared" ref="G3:G27" si="1">SUM(C3)-F3</f>
        <v>-37</v>
      </c>
      <c r="H3" s="7"/>
    </row>
    <row r="4" spans="2:8" x14ac:dyDescent="0.2">
      <c r="B4" s="5" t="s">
        <v>1</v>
      </c>
      <c r="C4" s="6">
        <v>2382</v>
      </c>
      <c r="D4" s="42">
        <v>2467</v>
      </c>
      <c r="E4" s="6">
        <f t="shared" si="0"/>
        <v>-85</v>
      </c>
      <c r="F4" s="42">
        <v>2512</v>
      </c>
      <c r="G4" s="6">
        <f t="shared" si="1"/>
        <v>-130</v>
      </c>
      <c r="H4" s="7"/>
    </row>
    <row r="5" spans="2:8" x14ac:dyDescent="0.2">
      <c r="B5" s="5" t="s">
        <v>2</v>
      </c>
      <c r="C5" s="6">
        <v>980</v>
      </c>
      <c r="D5" s="42">
        <v>996</v>
      </c>
      <c r="E5" s="6">
        <f t="shared" si="0"/>
        <v>-16</v>
      </c>
      <c r="F5" s="42">
        <v>1015</v>
      </c>
      <c r="G5" s="6">
        <f t="shared" si="1"/>
        <v>-35</v>
      </c>
      <c r="H5" s="7"/>
    </row>
    <row r="6" spans="2:8" x14ac:dyDescent="0.2">
      <c r="B6" s="5" t="s">
        <v>3</v>
      </c>
      <c r="C6" s="6">
        <v>2465</v>
      </c>
      <c r="D6" s="42">
        <v>2507</v>
      </c>
      <c r="E6" s="6">
        <f t="shared" si="0"/>
        <v>-42</v>
      </c>
      <c r="F6" s="42">
        <v>2694</v>
      </c>
      <c r="G6" s="6">
        <f t="shared" si="1"/>
        <v>-229</v>
      </c>
      <c r="H6" s="7"/>
    </row>
    <row r="7" spans="2:8" x14ac:dyDescent="0.2">
      <c r="B7" s="5" t="s">
        <v>4</v>
      </c>
      <c r="C7" s="6">
        <v>3010</v>
      </c>
      <c r="D7" s="42">
        <v>3127</v>
      </c>
      <c r="E7" s="6">
        <f t="shared" si="0"/>
        <v>-117</v>
      </c>
      <c r="F7" s="42">
        <v>3004</v>
      </c>
      <c r="G7" s="6">
        <f t="shared" si="1"/>
        <v>6</v>
      </c>
      <c r="H7" s="7"/>
    </row>
    <row r="8" spans="2:8" x14ac:dyDescent="0.2">
      <c r="B8" s="5" t="s">
        <v>5</v>
      </c>
      <c r="C8" s="6">
        <v>728</v>
      </c>
      <c r="D8" s="42">
        <v>753</v>
      </c>
      <c r="E8" s="6">
        <f t="shared" si="0"/>
        <v>-25</v>
      </c>
      <c r="F8" s="42">
        <v>799</v>
      </c>
      <c r="G8" s="6">
        <f t="shared" si="1"/>
        <v>-71</v>
      </c>
      <c r="H8" s="7"/>
    </row>
    <row r="9" spans="2:8" x14ac:dyDescent="0.2">
      <c r="B9" s="9" t="s">
        <v>6</v>
      </c>
      <c r="C9" s="6">
        <v>1001</v>
      </c>
      <c r="D9" s="42">
        <v>1016</v>
      </c>
      <c r="E9" s="6">
        <f t="shared" si="0"/>
        <v>-15</v>
      </c>
      <c r="F9" s="42">
        <v>983</v>
      </c>
      <c r="G9" s="6">
        <f t="shared" si="1"/>
        <v>18</v>
      </c>
      <c r="H9" s="7"/>
    </row>
    <row r="10" spans="2:8" x14ac:dyDescent="0.2">
      <c r="B10" s="5" t="s">
        <v>7</v>
      </c>
      <c r="C10" s="6">
        <v>1081</v>
      </c>
      <c r="D10" s="42">
        <v>1084</v>
      </c>
      <c r="E10" s="6">
        <f t="shared" si="0"/>
        <v>-3</v>
      </c>
      <c r="F10" s="42">
        <v>1102</v>
      </c>
      <c r="G10" s="6">
        <f t="shared" si="1"/>
        <v>-21</v>
      </c>
      <c r="H10" s="7"/>
    </row>
    <row r="11" spans="2:8" x14ac:dyDescent="0.2">
      <c r="B11" s="5" t="s">
        <v>8</v>
      </c>
      <c r="C11" s="6">
        <v>1694</v>
      </c>
      <c r="D11" s="42">
        <v>1741</v>
      </c>
      <c r="E11" s="6">
        <f t="shared" si="0"/>
        <v>-47</v>
      </c>
      <c r="F11" s="42">
        <v>1890</v>
      </c>
      <c r="G11" s="6">
        <f t="shared" si="1"/>
        <v>-196</v>
      </c>
      <c r="H11" s="7"/>
    </row>
    <row r="12" spans="2:8" x14ac:dyDescent="0.2">
      <c r="B12" s="5" t="s">
        <v>9</v>
      </c>
      <c r="C12" s="6">
        <v>878</v>
      </c>
      <c r="D12" s="42">
        <v>933</v>
      </c>
      <c r="E12" s="6">
        <f t="shared" si="0"/>
        <v>-55</v>
      </c>
      <c r="F12" s="42">
        <v>937</v>
      </c>
      <c r="G12" s="6">
        <f t="shared" si="1"/>
        <v>-59</v>
      </c>
      <c r="H12" s="7"/>
    </row>
    <row r="13" spans="2:8" x14ac:dyDescent="0.2">
      <c r="B13" s="5" t="s">
        <v>10</v>
      </c>
      <c r="C13" s="6">
        <v>1216</v>
      </c>
      <c r="D13" s="42">
        <v>1253</v>
      </c>
      <c r="E13" s="6">
        <f t="shared" si="0"/>
        <v>-37</v>
      </c>
      <c r="F13" s="42">
        <v>1337</v>
      </c>
      <c r="G13" s="6">
        <f t="shared" si="1"/>
        <v>-121</v>
      </c>
      <c r="H13" s="7"/>
    </row>
    <row r="14" spans="2:8" x14ac:dyDescent="0.2">
      <c r="B14" s="5" t="s">
        <v>11</v>
      </c>
      <c r="C14" s="6">
        <v>1360</v>
      </c>
      <c r="D14" s="42">
        <v>1369</v>
      </c>
      <c r="E14" s="6">
        <f t="shared" si="0"/>
        <v>-9</v>
      </c>
      <c r="F14" s="42">
        <v>1238</v>
      </c>
      <c r="G14" s="6">
        <f t="shared" si="1"/>
        <v>122</v>
      </c>
      <c r="H14" s="7"/>
    </row>
    <row r="15" spans="2:8" x14ac:dyDescent="0.2">
      <c r="B15" s="5" t="s">
        <v>12</v>
      </c>
      <c r="C15" s="6">
        <v>1661</v>
      </c>
      <c r="D15" s="42">
        <v>1689</v>
      </c>
      <c r="E15" s="6">
        <f t="shared" si="0"/>
        <v>-28</v>
      </c>
      <c r="F15" s="42">
        <v>1773</v>
      </c>
      <c r="G15" s="6">
        <f t="shared" si="1"/>
        <v>-112</v>
      </c>
      <c r="H15" s="7"/>
    </row>
    <row r="16" spans="2:8" x14ac:dyDescent="0.2">
      <c r="B16" s="5" t="s">
        <v>13</v>
      </c>
      <c r="C16" s="6">
        <v>1640</v>
      </c>
      <c r="D16" s="42">
        <v>1703</v>
      </c>
      <c r="E16" s="6">
        <f t="shared" si="0"/>
        <v>-63</v>
      </c>
      <c r="F16" s="42">
        <v>1833</v>
      </c>
      <c r="G16" s="6">
        <f t="shared" si="1"/>
        <v>-193</v>
      </c>
      <c r="H16" s="7"/>
    </row>
    <row r="17" spans="2:8" x14ac:dyDescent="0.2">
      <c r="B17" s="5" t="s">
        <v>14</v>
      </c>
      <c r="C17" s="6">
        <v>1925</v>
      </c>
      <c r="D17" s="42">
        <v>1916</v>
      </c>
      <c r="E17" s="6">
        <f t="shared" si="0"/>
        <v>9</v>
      </c>
      <c r="F17" s="42">
        <v>2184</v>
      </c>
      <c r="G17" s="6">
        <f t="shared" si="1"/>
        <v>-259</v>
      </c>
      <c r="H17" s="7"/>
    </row>
    <row r="18" spans="2:8" x14ac:dyDescent="0.2">
      <c r="B18" s="5" t="s">
        <v>15</v>
      </c>
      <c r="C18" s="6">
        <v>1324</v>
      </c>
      <c r="D18" s="42">
        <v>1339</v>
      </c>
      <c r="E18" s="6">
        <f t="shared" si="0"/>
        <v>-15</v>
      </c>
      <c r="F18" s="42">
        <v>1478</v>
      </c>
      <c r="G18" s="6">
        <f t="shared" si="1"/>
        <v>-154</v>
      </c>
      <c r="H18" s="7"/>
    </row>
    <row r="19" spans="2:8" x14ac:dyDescent="0.2">
      <c r="B19" s="5" t="s">
        <v>16</v>
      </c>
      <c r="C19" s="6">
        <v>2585</v>
      </c>
      <c r="D19" s="42">
        <v>2616</v>
      </c>
      <c r="E19" s="6">
        <f t="shared" si="0"/>
        <v>-31</v>
      </c>
      <c r="F19" s="42">
        <v>2850</v>
      </c>
      <c r="G19" s="6">
        <f t="shared" si="1"/>
        <v>-265</v>
      </c>
      <c r="H19" s="7"/>
    </row>
    <row r="20" spans="2:8" x14ac:dyDescent="0.2">
      <c r="B20" s="5" t="s">
        <v>17</v>
      </c>
      <c r="C20" s="6">
        <v>1466</v>
      </c>
      <c r="D20" s="42">
        <v>1467</v>
      </c>
      <c r="E20" s="6">
        <f t="shared" si="0"/>
        <v>-1</v>
      </c>
      <c r="F20" s="42">
        <v>1350</v>
      </c>
      <c r="G20" s="6">
        <f t="shared" si="1"/>
        <v>116</v>
      </c>
      <c r="H20" s="7"/>
    </row>
    <row r="21" spans="2:8" x14ac:dyDescent="0.2">
      <c r="B21" s="5" t="s">
        <v>18</v>
      </c>
      <c r="C21" s="6">
        <v>791</v>
      </c>
      <c r="D21" s="42">
        <v>806</v>
      </c>
      <c r="E21" s="6">
        <f t="shared" si="0"/>
        <v>-15</v>
      </c>
      <c r="F21" s="42">
        <v>802</v>
      </c>
      <c r="G21" s="6">
        <f t="shared" si="1"/>
        <v>-11</v>
      </c>
      <c r="H21" s="7"/>
    </row>
    <row r="22" spans="2:8" x14ac:dyDescent="0.2">
      <c r="B22" s="5" t="s">
        <v>19</v>
      </c>
      <c r="C22" s="6">
        <v>1904</v>
      </c>
      <c r="D22" s="42">
        <v>1941</v>
      </c>
      <c r="E22" s="6">
        <f t="shared" si="0"/>
        <v>-37</v>
      </c>
      <c r="F22" s="42">
        <v>1990</v>
      </c>
      <c r="G22" s="6">
        <f t="shared" si="1"/>
        <v>-86</v>
      </c>
      <c r="H22" s="7"/>
    </row>
    <row r="23" spans="2:8" x14ac:dyDescent="0.2">
      <c r="B23" s="5" t="s">
        <v>20</v>
      </c>
      <c r="C23" s="6">
        <v>633</v>
      </c>
      <c r="D23" s="42">
        <v>651</v>
      </c>
      <c r="E23" s="6">
        <f t="shared" si="0"/>
        <v>-18</v>
      </c>
      <c r="F23" s="42">
        <v>691</v>
      </c>
      <c r="G23" s="6">
        <f t="shared" si="1"/>
        <v>-58</v>
      </c>
      <c r="H23" s="7"/>
    </row>
    <row r="24" spans="2:8" x14ac:dyDescent="0.2">
      <c r="B24" s="5" t="s">
        <v>21</v>
      </c>
      <c r="C24" s="6">
        <v>336</v>
      </c>
      <c r="D24" s="42">
        <v>344</v>
      </c>
      <c r="E24" s="6">
        <f t="shared" si="0"/>
        <v>-8</v>
      </c>
      <c r="F24" s="42">
        <v>307</v>
      </c>
      <c r="G24" s="6">
        <f t="shared" si="1"/>
        <v>29</v>
      </c>
      <c r="H24" s="7"/>
    </row>
    <row r="25" spans="2:8" x14ac:dyDescent="0.2">
      <c r="B25" s="5" t="s">
        <v>22</v>
      </c>
      <c r="C25" s="26">
        <v>1471</v>
      </c>
      <c r="D25" s="42">
        <v>1499</v>
      </c>
      <c r="E25" s="26">
        <f t="shared" si="0"/>
        <v>-28</v>
      </c>
      <c r="F25" s="42">
        <v>1612</v>
      </c>
      <c r="G25" s="6">
        <f t="shared" si="1"/>
        <v>-141</v>
      </c>
      <c r="H25" s="7"/>
    </row>
    <row r="26" spans="2:8" x14ac:dyDescent="0.2">
      <c r="B26" s="5" t="s">
        <v>23</v>
      </c>
      <c r="C26" s="26">
        <v>3032</v>
      </c>
      <c r="D26" s="42">
        <v>3063</v>
      </c>
      <c r="E26" s="26">
        <f t="shared" si="0"/>
        <v>-31</v>
      </c>
      <c r="F26" s="42">
        <v>3337</v>
      </c>
      <c r="G26" s="6">
        <f t="shared" si="1"/>
        <v>-305</v>
      </c>
      <c r="H26" s="7"/>
    </row>
    <row r="27" spans="2:8" x14ac:dyDescent="0.2">
      <c r="B27" s="5" t="s">
        <v>24</v>
      </c>
      <c r="C27" s="26">
        <v>554</v>
      </c>
      <c r="D27" s="42">
        <v>559</v>
      </c>
      <c r="E27" s="26">
        <f>SUM(C27)-D27</f>
        <v>-5</v>
      </c>
      <c r="F27" s="42">
        <v>582</v>
      </c>
      <c r="G27" s="6">
        <f t="shared" si="1"/>
        <v>-28</v>
      </c>
      <c r="H27" s="7"/>
    </row>
    <row r="28" spans="2:8" ht="15" x14ac:dyDescent="0.25">
      <c r="B28" s="39" t="s">
        <v>25</v>
      </c>
      <c r="C28" s="40">
        <f>SUM(C3:C27)</f>
        <v>36722</v>
      </c>
      <c r="D28" s="41">
        <f>SUM(D3:D27)</f>
        <v>37452</v>
      </c>
      <c r="E28" s="40">
        <f>SUM(E3:E27)</f>
        <v>-730</v>
      </c>
      <c r="F28" s="41">
        <f>SUM(F3:F27)</f>
        <v>38942</v>
      </c>
      <c r="G28" s="40">
        <f>SUM(G3:G27)</f>
        <v>-2220</v>
      </c>
      <c r="H28" s="7"/>
    </row>
    <row r="29" spans="2:8" ht="15" x14ac:dyDescent="0.25">
      <c r="B29" s="3" t="s">
        <v>49</v>
      </c>
      <c r="E29" s="19"/>
      <c r="F29" s="7"/>
      <c r="G29" s="7"/>
    </row>
    <row r="30" spans="2:8" x14ac:dyDescent="0.2">
      <c r="B30" s="3" t="s">
        <v>50</v>
      </c>
    </row>
    <row r="32" spans="2:8" ht="25.5" x14ac:dyDescent="0.2">
      <c r="C32" s="159"/>
    </row>
  </sheetData>
  <printOptions horizontalCentered="1" verticalCentered="1"/>
  <pageMargins left="0" right="0" top="0.59055118110236227" bottom="0" header="0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85546875" style="3" customWidth="1"/>
    <col min="2" max="2" width="7.28515625" style="3" customWidth="1"/>
    <col min="3" max="3" width="24.28515625" style="3" customWidth="1"/>
    <col min="4" max="4" width="14.7109375" style="3" customWidth="1"/>
    <col min="5" max="5" width="15" style="3" customWidth="1"/>
    <col min="6" max="6" width="16" style="3" customWidth="1"/>
    <col min="7" max="7" width="15.140625" style="3" customWidth="1"/>
    <col min="8" max="8" width="17.140625" style="3" customWidth="1"/>
    <col min="9" max="9" width="5.7109375" style="3" customWidth="1"/>
    <col min="10" max="10" width="6" style="3" customWidth="1"/>
    <col min="11" max="18" width="9.140625" style="3"/>
    <col min="19" max="19" width="8.140625" style="3" customWidth="1"/>
    <col min="20" max="20" width="4.85546875" style="3" customWidth="1"/>
    <col min="21" max="16384" width="9.140625" style="3"/>
  </cols>
  <sheetData>
    <row r="1" spans="2:8" x14ac:dyDescent="0.2">
      <c r="B1" s="2" t="s">
        <v>43</v>
      </c>
    </row>
    <row r="2" spans="2:8" ht="15" x14ac:dyDescent="0.2">
      <c r="C2" s="20"/>
      <c r="D2" s="21"/>
    </row>
    <row r="3" spans="2:8" ht="71.25" x14ac:dyDescent="0.2">
      <c r="B3" s="43" t="s">
        <v>42</v>
      </c>
      <c r="C3" s="36" t="str">
        <f>T('4długot.'!B2)</f>
        <v>powiaty</v>
      </c>
      <c r="D3" s="36" t="str">
        <f>T('4długot.'!C2)</f>
        <v>liczba bezrobotnych pow. 12 m-cy stan na 30-04-'24 r.</v>
      </c>
      <c r="E3" s="36" t="str">
        <f>T('4długot.'!D2)</f>
        <v>liczba bezrobotnych pow. 12 m-cy stan na 31-03-'24 r.</v>
      </c>
      <c r="F3" s="36" t="str">
        <f>T('4długot.'!E2)</f>
        <v>wzrost/spadek do poprzedniego  miesiąca</v>
      </c>
      <c r="G3" s="36" t="str">
        <f>T('4długot.'!F2)</f>
        <v>liczba bezrobotnych pow. 12 m-cy,  stan na 30-04-'23 r.</v>
      </c>
      <c r="H3" s="36" t="str">
        <f>T('4długot.'!G2)</f>
        <v>wzrost/spadek do analogicznego okresu ubr.</v>
      </c>
    </row>
    <row r="4" spans="2:8" x14ac:dyDescent="0.2">
      <c r="B4" s="6">
        <f>RANK('4długot.'!C3,'4długot.'!$C$3:'4długot.'!$C$28,1)+COUNTIF('4długot.'!$C$3:'4długot.'!C3,'4długot.'!C3)-1</f>
        <v>3</v>
      </c>
      <c r="C4" s="5" t="str">
        <f>INDEX('4długot.'!B3:G28,MATCH(1,B4:B29,0),1)</f>
        <v>Krosno</v>
      </c>
      <c r="D4" s="24">
        <f>INDEX('4długot.'!B3:G28,MATCH(1,B4:B29,0),2)</f>
        <v>336</v>
      </c>
      <c r="E4" s="42">
        <f>INDEX('4długot.'!B3:G28,MATCH(1,B4:B29,0),3)</f>
        <v>344</v>
      </c>
      <c r="F4" s="6">
        <f>INDEX('4długot.'!B3:G28,MATCH(1,B4:B29,0),4)</f>
        <v>-8</v>
      </c>
      <c r="G4" s="42">
        <f>INDEX('4długot.'!B3:G28,MATCH(1,B4:B29,0),5)</f>
        <v>307</v>
      </c>
      <c r="H4" s="6">
        <f>INDEX('4długot.'!B3:G28,MATCH(1,B4:B29,0),6)</f>
        <v>29</v>
      </c>
    </row>
    <row r="5" spans="2:8" x14ac:dyDescent="0.2">
      <c r="B5" s="6">
        <f>RANK('4długot.'!C4,'4długot.'!$C$3:'4długot.'!$C$28,1)+COUNTIF('4długot.'!$C$3:'4długot.'!C4,'4długot.'!C4)-1</f>
        <v>21</v>
      </c>
      <c r="C5" s="5" t="str">
        <f>INDEX('4długot.'!B3:G28,MATCH(2,B4:B29,0),1)</f>
        <v>Tarnobrzeg</v>
      </c>
      <c r="D5" s="6">
        <f>INDEX('4długot.'!B3:G28,MATCH(2,B4:B29,0),2)</f>
        <v>554</v>
      </c>
      <c r="E5" s="42">
        <f>INDEX('4długot.'!B3:G28,MATCH(2,B4:B29,0),3)</f>
        <v>559</v>
      </c>
      <c r="F5" s="6">
        <f>INDEX('4długot.'!B3:G28,MATCH(2,B4:B29,0),4)</f>
        <v>-5</v>
      </c>
      <c r="G5" s="42">
        <f>INDEX('4długot.'!B3:G28,MATCH(2,B4:B29,0),5)</f>
        <v>582</v>
      </c>
      <c r="H5" s="6">
        <f>INDEX('4długot.'!B3:G28,MATCH(2,B4:B29,0),6)</f>
        <v>-28</v>
      </c>
    </row>
    <row r="6" spans="2:8" x14ac:dyDescent="0.2">
      <c r="B6" s="6">
        <f>RANK('4długot.'!C5,'4długot.'!$C$3:'4długot.'!$C$28,1)+COUNTIF('4długot.'!$C$3:'4długot.'!C5,'4długot.'!C5)-1</f>
        <v>8</v>
      </c>
      <c r="C6" s="5" t="str">
        <f>INDEX('4długot.'!B3:G28,MATCH(3,B4:B29,0),1)</f>
        <v>bieszczadzki</v>
      </c>
      <c r="D6" s="6">
        <f>INDEX('4długot.'!B3:G28,MATCH(3,B4:B29,0),2)</f>
        <v>605</v>
      </c>
      <c r="E6" s="42">
        <f>INDEX('4długot.'!B3:G28,MATCH(3,B4:B29,0),3)</f>
        <v>613</v>
      </c>
      <c r="F6" s="6">
        <f>INDEX('4długot.'!B3:G28,MATCH(3,B4:B29,0),4)</f>
        <v>-8</v>
      </c>
      <c r="G6" s="42">
        <f>INDEX('4długot.'!B3:G28,MATCH(3,B4:B29,0),5)</f>
        <v>642</v>
      </c>
      <c r="H6" s="6">
        <f>INDEX('4długot.'!B3:G28,MATCH(3,B4:B29,0),6)</f>
        <v>-37</v>
      </c>
    </row>
    <row r="7" spans="2:8" x14ac:dyDescent="0.2">
      <c r="B7" s="6">
        <f>RANK('4długot.'!C6,'4długot.'!$C$3:'4długot.'!$C$28,1)+COUNTIF('4długot.'!$C$3:'4długot.'!C6,'4długot.'!C6)-1</f>
        <v>22</v>
      </c>
      <c r="C7" s="5" t="str">
        <f>INDEX('4długot.'!B3:G28,MATCH(4,B4:B29,0),1)</f>
        <v xml:space="preserve">tarnobrzeski </v>
      </c>
      <c r="D7" s="6">
        <f>INDEX('4długot.'!B3:G28,MATCH(4,B4:B29,0),2)</f>
        <v>633</v>
      </c>
      <c r="E7" s="42">
        <f>INDEX('4długot.'!B3:G28,MATCH(4,B4:B29,0),3)</f>
        <v>651</v>
      </c>
      <c r="F7" s="6">
        <f>INDEX('4długot.'!B3:G28,MATCH(4,B4:B29,0),4)</f>
        <v>-18</v>
      </c>
      <c r="G7" s="42">
        <f>INDEX('4długot.'!B3:G28,MATCH(4,B4:B29,0),5)</f>
        <v>691</v>
      </c>
      <c r="H7" s="6">
        <f>INDEX('4długot.'!B3:G28,MATCH(4,B4:B29,0),6)</f>
        <v>-58</v>
      </c>
    </row>
    <row r="8" spans="2:8" x14ac:dyDescent="0.2">
      <c r="B8" s="6">
        <f>RANK('4długot.'!C7,'4długot.'!$C$3:'4długot.'!$C$28,1)+COUNTIF('4długot.'!$C$3:'4długot.'!C7,'4długot.'!C7)-1</f>
        <v>24</v>
      </c>
      <c r="C8" s="5" t="str">
        <f>INDEX('4długot.'!B3:G28,MATCH(5,B4:B29,0),1)</f>
        <v>kolbuszowski</v>
      </c>
      <c r="D8" s="6">
        <f>INDEX('4długot.'!B3:G28,MATCH(5,B4:B29,0),2)</f>
        <v>728</v>
      </c>
      <c r="E8" s="42">
        <f>INDEX('4długot.'!B3:G28,MATCH(5,B4:B29,0),3)</f>
        <v>753</v>
      </c>
      <c r="F8" s="6">
        <f>INDEX('4długot.'!B3:G28,MATCH(5,B4:B29,0),4)</f>
        <v>-25</v>
      </c>
      <c r="G8" s="42">
        <f>INDEX('4długot.'!B3:G28,MATCH(5,B4:B29,0),5)</f>
        <v>799</v>
      </c>
      <c r="H8" s="6">
        <f>INDEX('4długot.'!B3:G28,MATCH(5,B4:B29,0),6)</f>
        <v>-71</v>
      </c>
    </row>
    <row r="9" spans="2:8" x14ac:dyDescent="0.2">
      <c r="B9" s="6">
        <f>RANK('4długot.'!C8,'4długot.'!$C$3:'4długot.'!$C$28,1)+COUNTIF('4długot.'!$C$3:'4długot.'!C8,'4długot.'!C8)-1</f>
        <v>5</v>
      </c>
      <c r="C9" s="5" t="str">
        <f>INDEX('4długot.'!B3:G28,MATCH(6,B4:B29,0),1)</f>
        <v>stalowowolski</v>
      </c>
      <c r="D9" s="6">
        <f>INDEX('4długot.'!B3:G28,MATCH(6,B4:B29,0),2)</f>
        <v>791</v>
      </c>
      <c r="E9" s="42">
        <f>INDEX('4długot.'!B3:G28,MATCH(6,B4:B29,0),3)</f>
        <v>806</v>
      </c>
      <c r="F9" s="6">
        <f>INDEX('4długot.'!B3:G28,MATCH(6,B4:B29,0),4)</f>
        <v>-15</v>
      </c>
      <c r="G9" s="42">
        <f>INDEX('4długot.'!B3:G28,MATCH(6,B4:B29,0),5)</f>
        <v>802</v>
      </c>
      <c r="H9" s="6">
        <f>INDEX('4długot.'!B3:G28,MATCH(6,B4:B29,0),6)</f>
        <v>-11</v>
      </c>
    </row>
    <row r="10" spans="2:8" x14ac:dyDescent="0.2">
      <c r="B10" s="6">
        <f>RANK('4długot.'!C9,'4długot.'!$C$3:'4długot.'!$C$28,1)+COUNTIF('4długot.'!$C$3:'4długot.'!C9,'4długot.'!C9)-1</f>
        <v>9</v>
      </c>
      <c r="C10" s="9" t="str">
        <f>INDEX('4długot.'!B3:G28,MATCH(7,B4:B29,0),1)</f>
        <v>lubaczowski</v>
      </c>
      <c r="D10" s="6">
        <f>INDEX('4długot.'!B3:G28,MATCH(7,B4:B29,0),2)</f>
        <v>878</v>
      </c>
      <c r="E10" s="42">
        <f>INDEX('4długot.'!B3:G28,MATCH(7,B4:B29,0),3)</f>
        <v>933</v>
      </c>
      <c r="F10" s="6">
        <f>INDEX('4długot.'!B3:G28,MATCH(7,B4:B29,0),4)</f>
        <v>-55</v>
      </c>
      <c r="G10" s="42">
        <f>INDEX('4długot.'!B3:G28,MATCH(7,B4:B29,0),5)</f>
        <v>937</v>
      </c>
      <c r="H10" s="6">
        <f>INDEX('4długot.'!B3:G28,MATCH(7,B4:B29,0),6)</f>
        <v>-59</v>
      </c>
    </row>
    <row r="11" spans="2:8" x14ac:dyDescent="0.2">
      <c r="B11" s="6">
        <f>RANK('4długot.'!C10,'4długot.'!$C$3:'4długot.'!$C$28,1)+COUNTIF('4długot.'!$C$3:'4długot.'!C10,'4długot.'!C10)-1</f>
        <v>10</v>
      </c>
      <c r="C11" s="5" t="str">
        <f>INDEX('4długot.'!B3:G28,MATCH(8,B4:B29,0),1)</f>
        <v>dębicki</v>
      </c>
      <c r="D11" s="6">
        <f>INDEX('4długot.'!B3:G28,MATCH(8,B4:B29,0),2)</f>
        <v>980</v>
      </c>
      <c r="E11" s="42">
        <f>INDEX('4długot.'!B3:G28,MATCH(8,B4:B29,0),3)</f>
        <v>996</v>
      </c>
      <c r="F11" s="6">
        <f>INDEX('4długot.'!B3:G28,MATCH(8,B4:B29,0),4)</f>
        <v>-16</v>
      </c>
      <c r="G11" s="42">
        <f>INDEX('4długot.'!B3:G28,MATCH(8,B4:B29,0),5)</f>
        <v>1015</v>
      </c>
      <c r="H11" s="6">
        <f>INDEX('4długot.'!B3:G28,MATCH(8,B4:B29,0),6)</f>
        <v>-35</v>
      </c>
    </row>
    <row r="12" spans="2:8" x14ac:dyDescent="0.2">
      <c r="B12" s="6">
        <f>RANK('4długot.'!C11,'4długot.'!$C$3:'4długot.'!$C$28,1)+COUNTIF('4długot.'!$C$3:'4długot.'!C11,'4długot.'!C11)-1</f>
        <v>18</v>
      </c>
      <c r="C12" s="5" t="str">
        <f>INDEX('4długot.'!B3:G28,MATCH(9,B4:B29,0),1)</f>
        <v>krośnieński</v>
      </c>
      <c r="D12" s="6">
        <f>INDEX('4długot.'!B3:G28,MATCH(9,B4:B29,0),2)</f>
        <v>1001</v>
      </c>
      <c r="E12" s="42">
        <f>INDEX('4długot.'!B3:G28,MATCH(9,B4:B29,0),3)</f>
        <v>1016</v>
      </c>
      <c r="F12" s="6">
        <f>INDEX('4długot.'!B3:G28,MATCH(9,B4:B29,0),4)</f>
        <v>-15</v>
      </c>
      <c r="G12" s="42">
        <f>INDEX('4długot.'!B3:G28,MATCH(9,B4:B29,0),5)</f>
        <v>983</v>
      </c>
      <c r="H12" s="6">
        <f>INDEX('4długot.'!B3:G28,MATCH(9,B4:B29,0),6)</f>
        <v>18</v>
      </c>
    </row>
    <row r="13" spans="2:8" x14ac:dyDescent="0.2">
      <c r="B13" s="6">
        <f>RANK('4długot.'!C12,'4długot.'!$C$3:'4długot.'!$C$28,1)+COUNTIF('4długot.'!$C$3:'4długot.'!C12,'4długot.'!C12)-1</f>
        <v>7</v>
      </c>
      <c r="C13" s="5" t="str">
        <f>INDEX('4długot.'!B3:G28,MATCH(10,B4:B29,0),1)</f>
        <v>leski</v>
      </c>
      <c r="D13" s="6">
        <f>INDEX('4długot.'!B3:G28,MATCH(10,B4:B29,0),2)</f>
        <v>1081</v>
      </c>
      <c r="E13" s="42">
        <f>INDEX('4długot.'!B3:G28,MATCH(10,B4:B29,0),3)</f>
        <v>1084</v>
      </c>
      <c r="F13" s="6">
        <f>INDEX('4długot.'!B3:G28,MATCH(10,B4:B29,0),4)</f>
        <v>-3</v>
      </c>
      <c r="G13" s="42">
        <f>INDEX('4długot.'!B3:G28,MATCH(10,B4:B29,0),5)</f>
        <v>1102</v>
      </c>
      <c r="H13" s="6">
        <f>INDEX('4długot.'!B3:G28,MATCH(10,B4:B29,0),6)</f>
        <v>-21</v>
      </c>
    </row>
    <row r="14" spans="2:8" x14ac:dyDescent="0.2">
      <c r="B14" s="6">
        <f>RANK('4długot.'!C13,'4długot.'!$C$3:'4długot.'!$C$28,1)+COUNTIF('4długot.'!$C$3:'4długot.'!C13,'4długot.'!C13)-1</f>
        <v>11</v>
      </c>
      <c r="C14" s="5" t="str">
        <f>INDEX('4długot.'!B3:G28,MATCH(11,B4:B29,0),1)</f>
        <v>łańcucki</v>
      </c>
      <c r="D14" s="6">
        <f>INDEX('4długot.'!B3:G28,MATCH(11,B4:B29,0),2)</f>
        <v>1216</v>
      </c>
      <c r="E14" s="42">
        <f>INDEX('4długot.'!B3:G28,MATCH(11,B4:B29,0),3)</f>
        <v>1253</v>
      </c>
      <c r="F14" s="6">
        <f>INDEX('4długot.'!B3:G28,MATCH(11,B4:B29,0),4)</f>
        <v>-37</v>
      </c>
      <c r="G14" s="42">
        <f>INDEX('4długot.'!B3:G28,MATCH(11,B4:B29,0),5)</f>
        <v>1337</v>
      </c>
      <c r="H14" s="6">
        <f>INDEX('4długot.'!B3:G28,MATCH(11,B4:B29,0),6)</f>
        <v>-121</v>
      </c>
    </row>
    <row r="15" spans="2:8" x14ac:dyDescent="0.2">
      <c r="B15" s="6">
        <f>RANK('4długot.'!C14,'4długot.'!$C$3:'4długot.'!$C$28,1)+COUNTIF('4długot.'!$C$3:'4długot.'!C14,'4długot.'!C14)-1</f>
        <v>13</v>
      </c>
      <c r="C15" s="5" t="str">
        <f>INDEX('4długot.'!B3:G28,MATCH(12,B4:B29,0),1)</f>
        <v>ropczycko-sędziszowski</v>
      </c>
      <c r="D15" s="6">
        <f>INDEX('4długot.'!B3:G28,MATCH(12,B4:B29,0),2)</f>
        <v>1324</v>
      </c>
      <c r="E15" s="42">
        <f>INDEX('4długot.'!B3:G28,MATCH(12,B4:B29,0),3)</f>
        <v>1339</v>
      </c>
      <c r="F15" s="6">
        <f>INDEX('4długot.'!B3:G28,MATCH(12,B4:B29,0),4)</f>
        <v>-15</v>
      </c>
      <c r="G15" s="42">
        <f>INDEX('4długot.'!B3:G28,MATCH(12,B4:B29,0),5)</f>
        <v>1478</v>
      </c>
      <c r="H15" s="6">
        <f>INDEX('4długot.'!B3:G28,MATCH(12,B4:B29,0),6)</f>
        <v>-154</v>
      </c>
    </row>
    <row r="16" spans="2:8" x14ac:dyDescent="0.2">
      <c r="B16" s="6">
        <f>RANK('4długot.'!C15,'4długot.'!$C$3:'4długot.'!$C$28,1)+COUNTIF('4długot.'!$C$3:'4długot.'!C15,'4długot.'!C15)-1</f>
        <v>17</v>
      </c>
      <c r="C16" s="5" t="str">
        <f>INDEX('4długot.'!B3:G28,MATCH(13,B4:B29,0),1)</f>
        <v>mielecki</v>
      </c>
      <c r="D16" s="6">
        <f>INDEX('4długot.'!B3:G28,MATCH(13,B4:B29,0),2)</f>
        <v>1360</v>
      </c>
      <c r="E16" s="42">
        <f>INDEX('4długot.'!B3:G28,MATCH(13,B4:B29,0),3)</f>
        <v>1369</v>
      </c>
      <c r="F16" s="6">
        <f>INDEX('4długot.'!B3:G28,MATCH(13,B4:B29,0),4)</f>
        <v>-9</v>
      </c>
      <c r="G16" s="42">
        <f>INDEX('4długot.'!B3:G28,MATCH(13,B4:B29,0),5)</f>
        <v>1238</v>
      </c>
      <c r="H16" s="6">
        <f>INDEX('4długot.'!B3:G28,MATCH(13,B4:B29,0),6)</f>
        <v>122</v>
      </c>
    </row>
    <row r="17" spans="2:8" x14ac:dyDescent="0.2">
      <c r="B17" s="6">
        <f>RANK('4długot.'!C16,'4długot.'!$C$3:'4długot.'!$C$28,1)+COUNTIF('4długot.'!$C$3:'4długot.'!C16,'4długot.'!C16)-1</f>
        <v>16</v>
      </c>
      <c r="C17" s="5" t="str">
        <f>INDEX('4długot.'!B3:G28,MATCH(14,B4:B29,0),1)</f>
        <v>sanocki</v>
      </c>
      <c r="D17" s="6">
        <f>INDEX('4długot.'!B3:G28,MATCH(14,B4:B29,0),2)</f>
        <v>1466</v>
      </c>
      <c r="E17" s="42">
        <f>INDEX('4długot.'!B3:G28,MATCH(14,B4:B29,0),3)</f>
        <v>1467</v>
      </c>
      <c r="F17" s="6">
        <f>INDEX('4długot.'!B3:G28,MATCH(14,B4:B29,0),4)</f>
        <v>-1</v>
      </c>
      <c r="G17" s="42">
        <f>INDEX('4długot.'!B3:G28,MATCH(14,B4:B29,0),5)</f>
        <v>1350</v>
      </c>
      <c r="H17" s="6">
        <f>INDEX('4długot.'!B3:G28,MATCH(14,B4:B29,0),6)</f>
        <v>116</v>
      </c>
    </row>
    <row r="18" spans="2:8" x14ac:dyDescent="0.2">
      <c r="B18" s="6">
        <f>RANK('4długot.'!C17,'4długot.'!$C$3:'4długot.'!$C$28,1)+COUNTIF('4długot.'!$C$3:'4długot.'!C17,'4długot.'!C17)-1</f>
        <v>20</v>
      </c>
      <c r="C18" s="5" t="str">
        <f>INDEX('4długot.'!B3:G28,MATCH(15,B4:B29,0),1)</f>
        <v>Przemyśl</v>
      </c>
      <c r="D18" s="6">
        <f>INDEX('4długot.'!B3:G28,MATCH(15,B4:B29,0),2)</f>
        <v>1471</v>
      </c>
      <c r="E18" s="42">
        <f>INDEX('4długot.'!B3:G28,MATCH(15,B4:B29,0),3)</f>
        <v>1499</v>
      </c>
      <c r="F18" s="6">
        <f>INDEX('4długot.'!B3:G28,MATCH(15,B4:B29,0),4)</f>
        <v>-28</v>
      </c>
      <c r="G18" s="42">
        <f>INDEX('4długot.'!B3:G28,MATCH(15,B4:B29,0),5)</f>
        <v>1612</v>
      </c>
      <c r="H18" s="6">
        <f>INDEX('4długot.'!B3:G28,MATCH(15,B4:B29,0),6)</f>
        <v>-141</v>
      </c>
    </row>
    <row r="19" spans="2:8" x14ac:dyDescent="0.2">
      <c r="B19" s="6">
        <f>RANK('4długot.'!C18,'4długot.'!$C$3:'4długot.'!$C$28,1)+COUNTIF('4długot.'!$C$3:'4długot.'!C18,'4długot.'!C18)-1</f>
        <v>12</v>
      </c>
      <c r="C19" s="5" t="str">
        <f>INDEX('4długot.'!B3:G28,MATCH(16,B4:B29,0),1)</f>
        <v>przemyski</v>
      </c>
      <c r="D19" s="6">
        <f>INDEX('4długot.'!B3:G28,MATCH(16,B4:B29,0),2)</f>
        <v>1640</v>
      </c>
      <c r="E19" s="42">
        <f>INDEX('4długot.'!B3:G28,MATCH(16,B4:B29,0),3)</f>
        <v>1703</v>
      </c>
      <c r="F19" s="6">
        <f>INDEX('4długot.'!B3:G28,MATCH(16,B4:B29,0),4)</f>
        <v>-63</v>
      </c>
      <c r="G19" s="42">
        <f>INDEX('4długot.'!B3:G28,MATCH(16,B4:B29,0),5)</f>
        <v>1833</v>
      </c>
      <c r="H19" s="6">
        <f>INDEX('4długot.'!B3:G28,MATCH(16,B4:B29,0),6)</f>
        <v>-193</v>
      </c>
    </row>
    <row r="20" spans="2:8" x14ac:dyDescent="0.2">
      <c r="B20" s="6">
        <f>RANK('4długot.'!C19,'4długot.'!$C$3:'4długot.'!$C$28,1)+COUNTIF('4długot.'!$C$3:'4długot.'!C19,'4długot.'!C19)-1</f>
        <v>23</v>
      </c>
      <c r="C20" s="5" t="str">
        <f>INDEX('4długot.'!B3:G28,MATCH(17,B4:B29,0),1)</f>
        <v>niżański</v>
      </c>
      <c r="D20" s="6">
        <f>INDEX('4długot.'!B3:G28,MATCH(17,B4:B29,0),2)</f>
        <v>1661</v>
      </c>
      <c r="E20" s="42">
        <f>INDEX('4długot.'!B3:G28,MATCH(17,B4:B29,0),3)</f>
        <v>1689</v>
      </c>
      <c r="F20" s="6">
        <f>INDEX('4długot.'!B3:G28,MATCH(17,B4:B29,0),4)</f>
        <v>-28</v>
      </c>
      <c r="G20" s="42">
        <f>INDEX('4długot.'!B3:G28,MATCH(17,B4:B29,0),5)</f>
        <v>1773</v>
      </c>
      <c r="H20" s="6">
        <f>INDEX('4długot.'!B3:G28,MATCH(17,B4:B29,0),6)</f>
        <v>-112</v>
      </c>
    </row>
    <row r="21" spans="2:8" x14ac:dyDescent="0.2">
      <c r="B21" s="6">
        <f>RANK('4długot.'!C20,'4długot.'!$C$3:'4długot.'!$C$28,1)+COUNTIF('4długot.'!$C$3:'4długot.'!C20,'4długot.'!C20)-1</f>
        <v>14</v>
      </c>
      <c r="C21" s="5" t="str">
        <f>INDEX('4długot.'!B3:G28,MATCH(18,B4:B29,0),1)</f>
        <v>leżajski</v>
      </c>
      <c r="D21" s="6">
        <f>INDEX('4długot.'!B3:G28,MATCH(18,B4:B29,0),2)</f>
        <v>1694</v>
      </c>
      <c r="E21" s="42">
        <f>INDEX('4długot.'!B3:G28,MATCH(18,B4:B29,0),3)</f>
        <v>1741</v>
      </c>
      <c r="F21" s="6">
        <f>INDEX('4długot.'!B3:G28,MATCH(18,B4:B29,0),4)</f>
        <v>-47</v>
      </c>
      <c r="G21" s="42">
        <f>INDEX('4długot.'!B3:G28,MATCH(18,B4:B29,0),5)</f>
        <v>1890</v>
      </c>
      <c r="H21" s="6">
        <f>INDEX('4długot.'!B3:G28,MATCH(18,B4:B29,0),6)</f>
        <v>-196</v>
      </c>
    </row>
    <row r="22" spans="2:8" x14ac:dyDescent="0.2">
      <c r="B22" s="6">
        <f>RANK('4długot.'!C21,'4długot.'!$C$3:'4długot.'!$C$28,1)+COUNTIF('4długot.'!$C$3:'4długot.'!C21,'4długot.'!C21)-1</f>
        <v>6</v>
      </c>
      <c r="C22" s="5" t="str">
        <f>INDEX('4długot.'!B3:G28,MATCH(19,B4:B29,0),1)</f>
        <v>strzyżowski</v>
      </c>
      <c r="D22" s="6">
        <f>INDEX('4długot.'!B3:G28,MATCH(19,B4:B29,0),2)</f>
        <v>1904</v>
      </c>
      <c r="E22" s="42">
        <f>INDEX('4długot.'!B3:G28,MATCH(19,B4:B29,0),3)</f>
        <v>1941</v>
      </c>
      <c r="F22" s="6">
        <f>INDEX('4długot.'!B3:G28,MATCH(19,B4:B29,0),4)</f>
        <v>-37</v>
      </c>
      <c r="G22" s="42">
        <f>INDEX('4długot.'!B3:G28,MATCH(19,B4:B29,0),5)</f>
        <v>1990</v>
      </c>
      <c r="H22" s="6">
        <f>INDEX('4długot.'!B3:G28,MATCH(19,B4:B29,0),6)</f>
        <v>-86</v>
      </c>
    </row>
    <row r="23" spans="2:8" x14ac:dyDescent="0.2">
      <c r="B23" s="6">
        <f>RANK('4długot.'!C22,'4długot.'!$C$3:'4długot.'!$C$28,1)+COUNTIF('4długot.'!$C$3:'4długot.'!C22,'4długot.'!C22)-1</f>
        <v>19</v>
      </c>
      <c r="C23" s="5" t="str">
        <f>INDEX('4długot.'!B3:G28,MATCH(20,B4:B29,0),1)</f>
        <v>przeworski</v>
      </c>
      <c r="D23" s="6">
        <f>INDEX('4długot.'!B3:G28,MATCH(20,B4:B29,0),2)</f>
        <v>1925</v>
      </c>
      <c r="E23" s="42">
        <f>INDEX('4długot.'!B3:G28,MATCH(20,B4:B29,0),3)</f>
        <v>1916</v>
      </c>
      <c r="F23" s="6">
        <f>INDEX('4długot.'!B3:G28,MATCH(20,B4:B29,0),4)</f>
        <v>9</v>
      </c>
      <c r="G23" s="42">
        <f>INDEX('4długot.'!B3:G28,MATCH(20,B4:B29,0),5)</f>
        <v>2184</v>
      </c>
      <c r="H23" s="6">
        <f>INDEX('4długot.'!B3:G28,MATCH(20,B4:B29,0),6)</f>
        <v>-259</v>
      </c>
    </row>
    <row r="24" spans="2:8" x14ac:dyDescent="0.2">
      <c r="B24" s="6">
        <f>RANK('4długot.'!C23,'4długot.'!$C$3:'4długot.'!$C$28,1)+COUNTIF('4długot.'!$C$3:'4długot.'!C23,'4długot.'!C23)-1</f>
        <v>4</v>
      </c>
      <c r="C24" s="5" t="str">
        <f>INDEX('4długot.'!B3:G28,MATCH(21,B4:B29,0),1)</f>
        <v>brzozowski</v>
      </c>
      <c r="D24" s="6">
        <f>INDEX('4długot.'!B3:G28,MATCH(21,B4:B29,0),2)</f>
        <v>2382</v>
      </c>
      <c r="E24" s="42">
        <f>INDEX('4długot.'!B3:G28,MATCH(21,B4:B29,0),3)</f>
        <v>2467</v>
      </c>
      <c r="F24" s="6">
        <f>INDEX('4długot.'!B3:G28,MATCH(21,B4:B29,0),4)</f>
        <v>-85</v>
      </c>
      <c r="G24" s="42">
        <f>INDEX('4długot.'!B3:G28,MATCH(21,B4:B29,0),5)</f>
        <v>2512</v>
      </c>
      <c r="H24" s="6">
        <f>INDEX('4długot.'!B3:G28,MATCH(21,B4:B29,0),6)</f>
        <v>-130</v>
      </c>
    </row>
    <row r="25" spans="2:8" x14ac:dyDescent="0.2">
      <c r="B25" s="6">
        <f>RANK('4długot.'!C24,'4długot.'!$C$3:'4długot.'!$C$28,1)+COUNTIF('4długot.'!$C$3:'4długot.'!C24,'4długot.'!C24)-1</f>
        <v>1</v>
      </c>
      <c r="C25" s="5" t="str">
        <f>INDEX('4długot.'!B3:G28,MATCH(22,B4:B29,0),1)</f>
        <v>jarosławski</v>
      </c>
      <c r="D25" s="6">
        <f>INDEX('4długot.'!B3:G28,MATCH(22,B4:B29,0),2)</f>
        <v>2465</v>
      </c>
      <c r="E25" s="42">
        <f>INDEX('4długot.'!B3:G28,MATCH(22,B4:B29,0),3)</f>
        <v>2507</v>
      </c>
      <c r="F25" s="6">
        <f>INDEX('4długot.'!B3:G28,MATCH(22,B4:B29,0),4)</f>
        <v>-42</v>
      </c>
      <c r="G25" s="42">
        <f>INDEX('4długot.'!B3:G28,MATCH(22,B4:B29,0),5)</f>
        <v>2694</v>
      </c>
      <c r="H25" s="6">
        <f>INDEX('4długot.'!B3:G28,MATCH(22,B4:B29,0),6)</f>
        <v>-229</v>
      </c>
    </row>
    <row r="26" spans="2:8" x14ac:dyDescent="0.2">
      <c r="B26" s="6">
        <f>RANK('4długot.'!C25,'4długot.'!$C$3:'4długot.'!$C$28,1)+COUNTIF('4długot.'!$C$3:'4długot.'!C25,'4długot.'!C25)-1</f>
        <v>15</v>
      </c>
      <c r="C26" s="5" t="str">
        <f>INDEX('4długot.'!B3:G28,MATCH(23,B4:B29,0),1)</f>
        <v>rzeszowski</v>
      </c>
      <c r="D26" s="6">
        <f>INDEX('4długot.'!B3:G28,MATCH(23,B4:B29,0),2)</f>
        <v>2585</v>
      </c>
      <c r="E26" s="42">
        <f>INDEX('4długot.'!B3:G28,MATCH(23,B4:B29,0),3)</f>
        <v>2616</v>
      </c>
      <c r="F26" s="6">
        <f>INDEX('4długot.'!B3:G28,MATCH(23,B4:B29,0),4)</f>
        <v>-31</v>
      </c>
      <c r="G26" s="42">
        <f>INDEX('4długot.'!B3:G28,MATCH(23,B4:B29,0),5)</f>
        <v>2850</v>
      </c>
      <c r="H26" s="6">
        <f>INDEX('4długot.'!B3:G28,MATCH(23,B4:B29,0),6)</f>
        <v>-265</v>
      </c>
    </row>
    <row r="27" spans="2:8" x14ac:dyDescent="0.2">
      <c r="B27" s="6">
        <f>RANK('4długot.'!C26,'4długot.'!$C$3:'4długot.'!$C$28,1)+COUNTIF('4długot.'!$C$3:'4długot.'!C26,'4długot.'!C26)-1</f>
        <v>25</v>
      </c>
      <c r="C27" s="5" t="str">
        <f>INDEX('4długot.'!B3:G28,MATCH(24,B4:B29,0),1)</f>
        <v>jasielski</v>
      </c>
      <c r="D27" s="6">
        <f>INDEX('4długot.'!B3:G28,MATCH(24,B4:B29,0),2)</f>
        <v>3010</v>
      </c>
      <c r="E27" s="42">
        <f>INDEX('4długot.'!B3:G28,MATCH(24,B4:B29,0),3)</f>
        <v>3127</v>
      </c>
      <c r="F27" s="6">
        <f>INDEX('4długot.'!B3:G28,MATCH(24,B4:B29,0),4)</f>
        <v>-117</v>
      </c>
      <c r="G27" s="42">
        <f>INDEX('4długot.'!B3:G28,MATCH(24,B4:B29,0),5)</f>
        <v>3004</v>
      </c>
      <c r="H27" s="6">
        <f>INDEX('4długot.'!B3:G28,MATCH(24,B4:B29,0),6)</f>
        <v>6</v>
      </c>
    </row>
    <row r="28" spans="2:8" x14ac:dyDescent="0.2">
      <c r="B28" s="6">
        <f>RANK('4długot.'!C27,'4długot.'!$C$3:'4długot.'!$C$28,1)+COUNTIF('4długot.'!$C$3:'4długot.'!C27,'4długot.'!C27)-1</f>
        <v>2</v>
      </c>
      <c r="C28" s="5" t="str">
        <f>INDEX('4długot.'!B3:G28,MATCH(25,B4:B29,0),1)</f>
        <v>Rzeszów</v>
      </c>
      <c r="D28" s="6">
        <f>INDEX('4długot.'!B3:G28,MATCH(25,B4:B29,0),2)</f>
        <v>3032</v>
      </c>
      <c r="E28" s="42">
        <f>INDEX('4długot.'!B3:G28,MATCH(25,B4:B29,0),3)</f>
        <v>3063</v>
      </c>
      <c r="F28" s="6">
        <f>INDEX('4długot.'!B3:G28,MATCH(25,B4:B29,0),4)</f>
        <v>-31</v>
      </c>
      <c r="G28" s="42">
        <f>INDEX('4długot.'!B3:G28,MATCH(25,B4:B29,0),5)</f>
        <v>3337</v>
      </c>
      <c r="H28" s="6">
        <f>INDEX('4długot.'!B3:G28,MATCH(25,B4:B29,0),6)</f>
        <v>-305</v>
      </c>
    </row>
    <row r="29" spans="2:8" ht="15" x14ac:dyDescent="0.25">
      <c r="B29" s="40">
        <f>RANK('4długot.'!C28,'4długot.'!$C$3:'4długot.'!$C$28,1)+COUNTIF('4długot.'!$C$3:'4długot.'!C28,'4długot.'!C28)-1</f>
        <v>26</v>
      </c>
      <c r="C29" s="39" t="str">
        <f>INDEX('4długot.'!B3:G28,MATCH(26,B4:B29,0),1)</f>
        <v>województwo</v>
      </c>
      <c r="D29" s="40">
        <f>INDEX('4długot.'!B3:G28,MATCH(26,B4:B29,0),2)</f>
        <v>36722</v>
      </c>
      <c r="E29" s="44">
        <f>INDEX('4długot.'!B3:G28,MATCH(26,B4:B29,0),3)</f>
        <v>37452</v>
      </c>
      <c r="F29" s="40">
        <f>INDEX('4długot.'!B3:G28,MATCH(26,B4:B29,0),4)</f>
        <v>-730</v>
      </c>
      <c r="G29" s="44">
        <f>INDEX('4długot.'!B3:G28,MATCH(26,B4:B29,0),5)</f>
        <v>38942</v>
      </c>
      <c r="H29" s="40">
        <f>INDEX('4długot.'!B3:G28,MATCH(26,B4:B29,0),6)</f>
        <v>-2220</v>
      </c>
    </row>
  </sheetData>
  <pageMargins left="0" right="0" top="0.31496062992125984" bottom="0" header="0" footer="0"/>
  <pageSetup paperSize="9" scale="6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C00"/>
    <pageSetUpPr fitToPage="1"/>
  </sheetPr>
  <dimension ref="B1:H29"/>
  <sheetViews>
    <sheetView zoomScale="80" zoomScaleNormal="80" workbookViewId="0">
      <selection activeCell="C28" sqref="C28"/>
    </sheetView>
  </sheetViews>
  <sheetFormatPr defaultRowHeight="14.25" x14ac:dyDescent="0.2"/>
  <cols>
    <col min="1" max="1" width="2.42578125" style="3" customWidth="1"/>
    <col min="2" max="2" width="25.5703125" style="3" customWidth="1"/>
    <col min="3" max="3" width="17.140625" style="3" customWidth="1"/>
    <col min="4" max="4" width="15.28515625" style="3" customWidth="1"/>
    <col min="5" max="5" width="16.28515625" style="3" customWidth="1"/>
    <col min="6" max="6" width="16.140625" style="3" customWidth="1"/>
    <col min="7" max="7" width="17.85546875" style="3" customWidth="1"/>
    <col min="8" max="8" width="9.140625" style="3"/>
    <col min="9" max="13" width="0" style="3" hidden="1" customWidth="1"/>
    <col min="14" max="16384" width="9.140625" style="3"/>
  </cols>
  <sheetData>
    <row r="1" spans="2:8" ht="20.25" customHeight="1" x14ac:dyDescent="0.2">
      <c r="B1" s="1" t="s">
        <v>48</v>
      </c>
      <c r="C1" s="27"/>
      <c r="D1" s="27"/>
      <c r="E1" s="27"/>
      <c r="F1" s="27"/>
      <c r="G1" s="27"/>
    </row>
    <row r="2" spans="2:8" ht="57.75" x14ac:dyDescent="0.2">
      <c r="B2" s="36" t="s">
        <v>27</v>
      </c>
      <c r="C2" s="37" t="s">
        <v>97</v>
      </c>
      <c r="D2" s="38" t="s">
        <v>96</v>
      </c>
      <c r="E2" s="37" t="s">
        <v>28</v>
      </c>
      <c r="F2" s="38" t="s">
        <v>95</v>
      </c>
      <c r="G2" s="37" t="s">
        <v>26</v>
      </c>
    </row>
    <row r="3" spans="2:8" x14ac:dyDescent="0.2">
      <c r="B3" s="5" t="s">
        <v>0</v>
      </c>
      <c r="C3" s="28">
        <v>268</v>
      </c>
      <c r="D3" s="42">
        <v>284</v>
      </c>
      <c r="E3" s="28">
        <f t="shared" ref="E3:E27" si="0">SUM(C3)-D3</f>
        <v>-16</v>
      </c>
      <c r="F3" s="42">
        <v>290</v>
      </c>
      <c r="G3" s="28">
        <f t="shared" ref="G3:G27" si="1">SUM(C3)-F3</f>
        <v>-22</v>
      </c>
      <c r="H3" s="7"/>
    </row>
    <row r="4" spans="2:8" x14ac:dyDescent="0.2">
      <c r="B4" s="5" t="s">
        <v>1</v>
      </c>
      <c r="C4" s="28">
        <v>924</v>
      </c>
      <c r="D4" s="42">
        <v>994</v>
      </c>
      <c r="E4" s="28">
        <f t="shared" si="0"/>
        <v>-70</v>
      </c>
      <c r="F4" s="42">
        <v>954</v>
      </c>
      <c r="G4" s="28">
        <f t="shared" si="1"/>
        <v>-30</v>
      </c>
      <c r="H4" s="7"/>
    </row>
    <row r="5" spans="2:8" x14ac:dyDescent="0.2">
      <c r="B5" s="5" t="s">
        <v>2</v>
      </c>
      <c r="C5" s="28">
        <v>698</v>
      </c>
      <c r="D5" s="42">
        <v>716</v>
      </c>
      <c r="E5" s="28">
        <f t="shared" si="0"/>
        <v>-18</v>
      </c>
      <c r="F5" s="42">
        <v>674</v>
      </c>
      <c r="G5" s="28">
        <f t="shared" si="1"/>
        <v>24</v>
      </c>
      <c r="H5" s="7"/>
    </row>
    <row r="6" spans="2:8" x14ac:dyDescent="0.2">
      <c r="B6" s="5" t="s">
        <v>3</v>
      </c>
      <c r="C6" s="28">
        <v>1075</v>
      </c>
      <c r="D6" s="42">
        <v>1196</v>
      </c>
      <c r="E6" s="28">
        <f t="shared" si="0"/>
        <v>-121</v>
      </c>
      <c r="F6" s="42">
        <v>1170</v>
      </c>
      <c r="G6" s="28">
        <f t="shared" si="1"/>
        <v>-95</v>
      </c>
      <c r="H6" s="7"/>
    </row>
    <row r="7" spans="2:8" x14ac:dyDescent="0.2">
      <c r="B7" s="5" t="s">
        <v>4</v>
      </c>
      <c r="C7" s="28">
        <v>1226</v>
      </c>
      <c r="D7" s="42">
        <v>1325</v>
      </c>
      <c r="E7" s="28">
        <f t="shared" si="0"/>
        <v>-99</v>
      </c>
      <c r="F7" s="42">
        <v>1248</v>
      </c>
      <c r="G7" s="28">
        <f t="shared" si="1"/>
        <v>-22</v>
      </c>
      <c r="H7" s="7"/>
    </row>
    <row r="8" spans="2:8" x14ac:dyDescent="0.2">
      <c r="B8" s="5" t="s">
        <v>5</v>
      </c>
      <c r="C8" s="28">
        <v>409</v>
      </c>
      <c r="D8" s="42">
        <v>429</v>
      </c>
      <c r="E8" s="28">
        <f t="shared" si="0"/>
        <v>-20</v>
      </c>
      <c r="F8" s="42">
        <v>473</v>
      </c>
      <c r="G8" s="28">
        <f t="shared" si="1"/>
        <v>-64</v>
      </c>
      <c r="H8" s="7"/>
    </row>
    <row r="9" spans="2:8" x14ac:dyDescent="0.2">
      <c r="B9" s="9" t="s">
        <v>6</v>
      </c>
      <c r="C9" s="28">
        <v>605</v>
      </c>
      <c r="D9" s="42">
        <v>658</v>
      </c>
      <c r="E9" s="28">
        <f t="shared" si="0"/>
        <v>-53</v>
      </c>
      <c r="F9" s="42">
        <v>556</v>
      </c>
      <c r="G9" s="28">
        <f t="shared" si="1"/>
        <v>49</v>
      </c>
      <c r="H9" s="7"/>
    </row>
    <row r="10" spans="2:8" x14ac:dyDescent="0.2">
      <c r="B10" s="5" t="s">
        <v>7</v>
      </c>
      <c r="C10" s="28">
        <v>414</v>
      </c>
      <c r="D10" s="42">
        <v>430</v>
      </c>
      <c r="E10" s="28">
        <f t="shared" si="0"/>
        <v>-16</v>
      </c>
      <c r="F10" s="42">
        <v>476</v>
      </c>
      <c r="G10" s="28">
        <f t="shared" si="1"/>
        <v>-62</v>
      </c>
      <c r="H10" s="7"/>
    </row>
    <row r="11" spans="2:8" x14ac:dyDescent="0.2">
      <c r="B11" s="5" t="s">
        <v>8</v>
      </c>
      <c r="C11" s="28">
        <v>860</v>
      </c>
      <c r="D11" s="42">
        <v>867</v>
      </c>
      <c r="E11" s="28">
        <f t="shared" si="0"/>
        <v>-7</v>
      </c>
      <c r="F11" s="42">
        <v>908</v>
      </c>
      <c r="G11" s="28">
        <f t="shared" si="1"/>
        <v>-48</v>
      </c>
      <c r="H11" s="7"/>
    </row>
    <row r="12" spans="2:8" x14ac:dyDescent="0.2">
      <c r="B12" s="5" t="s">
        <v>9</v>
      </c>
      <c r="C12" s="28">
        <v>454</v>
      </c>
      <c r="D12" s="42">
        <v>495</v>
      </c>
      <c r="E12" s="28">
        <f t="shared" si="0"/>
        <v>-41</v>
      </c>
      <c r="F12" s="42">
        <v>493</v>
      </c>
      <c r="G12" s="28">
        <f t="shared" si="1"/>
        <v>-39</v>
      </c>
      <c r="H12" s="7"/>
    </row>
    <row r="13" spans="2:8" x14ac:dyDescent="0.2">
      <c r="B13" s="5" t="s">
        <v>10</v>
      </c>
      <c r="C13" s="28">
        <v>724</v>
      </c>
      <c r="D13" s="42">
        <v>773</v>
      </c>
      <c r="E13" s="28">
        <f t="shared" si="0"/>
        <v>-49</v>
      </c>
      <c r="F13" s="42">
        <v>730</v>
      </c>
      <c r="G13" s="28">
        <f t="shared" si="1"/>
        <v>-6</v>
      </c>
      <c r="H13" s="7"/>
    </row>
    <row r="14" spans="2:8" x14ac:dyDescent="0.2">
      <c r="B14" s="5" t="s">
        <v>11</v>
      </c>
      <c r="C14" s="28">
        <v>725</v>
      </c>
      <c r="D14" s="42">
        <v>767</v>
      </c>
      <c r="E14" s="28">
        <f t="shared" si="0"/>
        <v>-42</v>
      </c>
      <c r="F14" s="42">
        <v>723</v>
      </c>
      <c r="G14" s="28">
        <f t="shared" si="1"/>
        <v>2</v>
      </c>
      <c r="H14" s="7"/>
    </row>
    <row r="15" spans="2:8" x14ac:dyDescent="0.2">
      <c r="B15" s="5" t="s">
        <v>12</v>
      </c>
      <c r="C15" s="28">
        <v>769</v>
      </c>
      <c r="D15" s="42">
        <v>772</v>
      </c>
      <c r="E15" s="28">
        <f t="shared" si="0"/>
        <v>-3</v>
      </c>
      <c r="F15" s="42">
        <v>827</v>
      </c>
      <c r="G15" s="28">
        <f t="shared" si="1"/>
        <v>-58</v>
      </c>
      <c r="H15" s="7"/>
    </row>
    <row r="16" spans="2:8" x14ac:dyDescent="0.2">
      <c r="B16" s="5" t="s">
        <v>13</v>
      </c>
      <c r="C16" s="28">
        <v>774</v>
      </c>
      <c r="D16" s="42">
        <v>806</v>
      </c>
      <c r="E16" s="28">
        <f t="shared" si="0"/>
        <v>-32</v>
      </c>
      <c r="F16" s="42">
        <v>787</v>
      </c>
      <c r="G16" s="28">
        <f t="shared" si="1"/>
        <v>-13</v>
      </c>
      <c r="H16" s="7"/>
    </row>
    <row r="17" spans="2:8" x14ac:dyDescent="0.2">
      <c r="B17" s="5" t="s">
        <v>14</v>
      </c>
      <c r="C17" s="28">
        <v>869</v>
      </c>
      <c r="D17" s="42">
        <v>883</v>
      </c>
      <c r="E17" s="28">
        <f t="shared" si="0"/>
        <v>-14</v>
      </c>
      <c r="F17" s="42">
        <v>953</v>
      </c>
      <c r="G17" s="28">
        <f t="shared" si="1"/>
        <v>-84</v>
      </c>
      <c r="H17" s="7"/>
    </row>
    <row r="18" spans="2:8" x14ac:dyDescent="0.2">
      <c r="B18" s="5" t="s">
        <v>15</v>
      </c>
      <c r="C18" s="28">
        <v>806</v>
      </c>
      <c r="D18" s="42">
        <v>780</v>
      </c>
      <c r="E18" s="28">
        <f t="shared" si="0"/>
        <v>26</v>
      </c>
      <c r="F18" s="42">
        <v>737</v>
      </c>
      <c r="G18" s="28">
        <f t="shared" si="1"/>
        <v>69</v>
      </c>
      <c r="H18" s="7"/>
    </row>
    <row r="19" spans="2:8" x14ac:dyDescent="0.2">
      <c r="B19" s="5" t="s">
        <v>16</v>
      </c>
      <c r="C19" s="28">
        <v>1225</v>
      </c>
      <c r="D19" s="42">
        <v>1273</v>
      </c>
      <c r="E19" s="28">
        <f t="shared" si="0"/>
        <v>-48</v>
      </c>
      <c r="F19" s="42">
        <v>1247</v>
      </c>
      <c r="G19" s="28">
        <f t="shared" si="1"/>
        <v>-22</v>
      </c>
      <c r="H19" s="7"/>
    </row>
    <row r="20" spans="2:8" x14ac:dyDescent="0.2">
      <c r="B20" s="5" t="s">
        <v>17</v>
      </c>
      <c r="C20" s="28">
        <v>719</v>
      </c>
      <c r="D20" s="42">
        <v>789</v>
      </c>
      <c r="E20" s="28">
        <f t="shared" si="0"/>
        <v>-70</v>
      </c>
      <c r="F20" s="42">
        <v>716</v>
      </c>
      <c r="G20" s="28">
        <f t="shared" si="1"/>
        <v>3</v>
      </c>
      <c r="H20" s="7"/>
    </row>
    <row r="21" spans="2:8" x14ac:dyDescent="0.2">
      <c r="B21" s="5" t="s">
        <v>18</v>
      </c>
      <c r="C21" s="28">
        <v>530</v>
      </c>
      <c r="D21" s="42">
        <v>552</v>
      </c>
      <c r="E21" s="28">
        <f t="shared" si="0"/>
        <v>-22</v>
      </c>
      <c r="F21" s="42">
        <v>517</v>
      </c>
      <c r="G21" s="28">
        <f t="shared" si="1"/>
        <v>13</v>
      </c>
      <c r="H21" s="7"/>
    </row>
    <row r="22" spans="2:8" x14ac:dyDescent="0.2">
      <c r="B22" s="5" t="s">
        <v>19</v>
      </c>
      <c r="C22" s="28">
        <v>821</v>
      </c>
      <c r="D22" s="42">
        <v>851</v>
      </c>
      <c r="E22" s="28">
        <f t="shared" si="0"/>
        <v>-30</v>
      </c>
      <c r="F22" s="42">
        <v>885</v>
      </c>
      <c r="G22" s="28">
        <f t="shared" si="1"/>
        <v>-64</v>
      </c>
      <c r="H22" s="7"/>
    </row>
    <row r="23" spans="2:8" x14ac:dyDescent="0.2">
      <c r="B23" s="5" t="s">
        <v>20</v>
      </c>
      <c r="C23" s="28">
        <v>323</v>
      </c>
      <c r="D23" s="42">
        <v>351</v>
      </c>
      <c r="E23" s="28">
        <f t="shared" si="0"/>
        <v>-28</v>
      </c>
      <c r="F23" s="42">
        <v>324</v>
      </c>
      <c r="G23" s="28">
        <f t="shared" si="1"/>
        <v>-1</v>
      </c>
      <c r="H23" s="7"/>
    </row>
    <row r="24" spans="2:8" x14ac:dyDescent="0.2">
      <c r="B24" s="5" t="s">
        <v>21</v>
      </c>
      <c r="C24" s="28">
        <v>170</v>
      </c>
      <c r="D24" s="42">
        <v>180</v>
      </c>
      <c r="E24" s="28">
        <f t="shared" si="0"/>
        <v>-10</v>
      </c>
      <c r="F24" s="42">
        <v>141</v>
      </c>
      <c r="G24" s="28">
        <f t="shared" si="1"/>
        <v>29</v>
      </c>
      <c r="H24" s="7"/>
    </row>
    <row r="25" spans="2:8" x14ac:dyDescent="0.2">
      <c r="B25" s="5" t="s">
        <v>22</v>
      </c>
      <c r="C25" s="28">
        <v>424</v>
      </c>
      <c r="D25" s="42">
        <v>418</v>
      </c>
      <c r="E25" s="28">
        <f t="shared" si="0"/>
        <v>6</v>
      </c>
      <c r="F25" s="42">
        <v>450</v>
      </c>
      <c r="G25" s="28">
        <f t="shared" si="1"/>
        <v>-26</v>
      </c>
      <c r="H25" s="7"/>
    </row>
    <row r="26" spans="2:8" x14ac:dyDescent="0.2">
      <c r="B26" s="5" t="s">
        <v>23</v>
      </c>
      <c r="C26" s="28">
        <v>919</v>
      </c>
      <c r="D26" s="42">
        <v>968</v>
      </c>
      <c r="E26" s="28">
        <f t="shared" si="0"/>
        <v>-49</v>
      </c>
      <c r="F26" s="42">
        <v>1030</v>
      </c>
      <c r="G26" s="28">
        <f t="shared" si="1"/>
        <v>-111</v>
      </c>
      <c r="H26" s="7"/>
    </row>
    <row r="27" spans="2:8" x14ac:dyDescent="0.2">
      <c r="B27" s="5" t="s">
        <v>24</v>
      </c>
      <c r="C27" s="28">
        <v>219</v>
      </c>
      <c r="D27" s="42">
        <v>245</v>
      </c>
      <c r="E27" s="28">
        <f t="shared" si="0"/>
        <v>-26</v>
      </c>
      <c r="F27" s="42">
        <v>203</v>
      </c>
      <c r="G27" s="28">
        <f t="shared" si="1"/>
        <v>16</v>
      </c>
      <c r="H27" s="7"/>
    </row>
    <row r="28" spans="2:8" ht="15" x14ac:dyDescent="0.25">
      <c r="B28" s="39" t="s">
        <v>25</v>
      </c>
      <c r="C28" s="48">
        <f>SUM(C3:C27)</f>
        <v>16950</v>
      </c>
      <c r="D28" s="44">
        <f>SUM(D3:D27)</f>
        <v>17802</v>
      </c>
      <c r="E28" s="48">
        <f>SUM(E3:E27)</f>
        <v>-852</v>
      </c>
      <c r="F28" s="44">
        <f>SUM(F3:F27)</f>
        <v>17512</v>
      </c>
      <c r="G28" s="48">
        <f>SUM(G3:G27)</f>
        <v>-562</v>
      </c>
      <c r="H28" s="7"/>
    </row>
    <row r="29" spans="2:8" x14ac:dyDescent="0.2">
      <c r="E29" s="19"/>
      <c r="F29" s="19"/>
      <c r="G29" s="7"/>
    </row>
  </sheetData>
  <printOptions horizontalCentered="1" verticalCentered="1"/>
  <pageMargins left="0" right="0" top="0.31496062992125984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1bezr.</vt:lpstr>
      <vt:lpstr>1sort</vt:lpstr>
      <vt:lpstr>2kob.</vt:lpstr>
      <vt:lpstr>2sort</vt:lpstr>
      <vt:lpstr>3bezr. na wsi</vt:lpstr>
      <vt:lpstr>3sort</vt:lpstr>
      <vt:lpstr>4długot.</vt:lpstr>
      <vt:lpstr>4sort</vt:lpstr>
      <vt:lpstr>5do 30 r.ż.</vt:lpstr>
      <vt:lpstr>5sort</vt:lpstr>
      <vt:lpstr>6pow. 50 r.ż.</vt:lpstr>
      <vt:lpstr>6sort</vt:lpstr>
      <vt:lpstr>7oferty p.</vt:lpstr>
      <vt:lpstr>7sort</vt:lpstr>
      <vt:lpstr>8oferty s.</vt:lpstr>
      <vt:lpstr>8sort</vt:lpstr>
      <vt:lpstr>9of st. k.</vt:lpstr>
      <vt:lpstr>9sort</vt:lpstr>
      <vt:lpstr>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Kocaj</dc:creator>
  <cp:keywords>Zbiorcze zestawienia statystyczna, prawa autorskie Piotr Kocaj</cp:keywords>
  <cp:lastModifiedBy>Bartosz Kostecki</cp:lastModifiedBy>
  <cp:lastPrinted>2024-05-20T10:07:49Z</cp:lastPrinted>
  <dcterms:created xsi:type="dcterms:W3CDTF">2016-08-02T05:46:03Z</dcterms:created>
  <dcterms:modified xsi:type="dcterms:W3CDTF">2024-05-28T08:51:45Z</dcterms:modified>
</cp:coreProperties>
</file>