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EB208EFF-3C80-4B49-A1FA-D684F8C35937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  <sheet name="XXXIII" sheetId="29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9" l="1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F28" i="1"/>
  <c r="C31" i="17"/>
  <c r="B21" i="16"/>
  <c r="E27" i="3"/>
  <c r="D24" i="2"/>
  <c r="G12" i="8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G3" i="8"/>
  <c r="AB3" i="14"/>
  <c r="AC3" i="14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E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AD4" i="28" s="1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D6" i="28" l="1"/>
  <c r="AD5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8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AF19" i="28" l="1"/>
  <c r="AF21" i="28"/>
  <c r="AF17" i="28"/>
  <c r="AF6" i="28"/>
  <c r="AF28" i="28"/>
  <c r="AF7" i="28"/>
  <c r="AF8" i="28"/>
  <c r="AF13" i="28"/>
  <c r="AF18" i="28"/>
  <c r="AF26" i="28"/>
  <c r="Z4" i="28"/>
  <c r="AI4" i="28" s="1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5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5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A4" i="28" l="1"/>
  <c r="AB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l="1"/>
  <c r="AA18" i="14"/>
  <c r="AA21" i="14"/>
  <c r="AA8" i="14"/>
  <c r="AA14" i="14"/>
  <c r="AA12" i="14"/>
  <c r="AA9" i="14"/>
  <c r="AA4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8" i="14"/>
  <c r="AA27" i="14"/>
  <c r="AA23" i="14"/>
  <c r="B29" i="14"/>
  <c r="AC4" i="14" l="1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27" i="14"/>
  <c r="AB18" i="14"/>
  <c r="AC8" i="14"/>
  <c r="AC23" i="14"/>
  <c r="AC27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C30" i="14" l="1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D28" i="10" l="1"/>
  <c r="G6" i="13" l="1"/>
  <c r="E6" i="13"/>
  <c r="G27" i="10" l="1"/>
  <c r="G10" i="2" l="1"/>
  <c r="B19" i="16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V4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5" i="14"/>
  <c r="W4" i="14"/>
  <c r="X18" i="14"/>
  <c r="X4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X14" i="14"/>
  <c r="E28" i="10"/>
  <c r="G28" i="10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X30" i="14" l="1"/>
  <c r="F27" i="17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B20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D14" i="16"/>
  <c r="E5" i="16"/>
  <c r="E13" i="16"/>
  <c r="F12" i="16"/>
  <c r="G7" i="16"/>
  <c r="H6" i="16"/>
  <c r="C14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5" i="16"/>
  <c r="C13" i="16"/>
  <c r="C20" i="16"/>
  <c r="C6" i="16"/>
  <c r="C4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E28" i="3" l="1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<sst xmlns="http://schemas.openxmlformats.org/spreadsheetml/2006/main" count="544" uniqueCount="176">
  <si>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</si>
  <si>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</si>
  <si>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</si>
  <si>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</si>
  <si>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</si>
  <si>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</si>
  <si>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</si>
  <si>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</si>
  <si>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</si>
  <si>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</si>
  <si>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</si>
  <si>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</si>
  <si>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</si>
  <si>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</si>
  <si>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</si>
  <si>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</si>
  <si>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</si>
  <si>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</si>
  <si>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</si>
  <si>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</si>
  <si>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</si>
  <si>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</si>
  <si>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</si>
  <si>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</si>
  <si>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</si>
  <si>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</si>
  <si>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</si>
  <si>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</si>
  <si>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</si>
  <si>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</si>
  <si>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</si>
  <si>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</si>
  <si>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</si>
  <si>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</si>
  <si>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</si>
  <si>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</si>
  <si>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</si>
  <si>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</si>
  <si>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</si>
  <si>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</si>
  <si>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</si>
  <si>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</si>
  <si>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</si>
  <si>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</si>
  <si>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</si>
  <si>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</si>
  <si>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</si>
  <si>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</si>
  <si>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</si>
  <si>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</si>
  <si>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</si>
  <si>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</si>
  <si>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</si>
  <si>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</si>
  <si>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</si>
  <si>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</si>
  <si>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</si>
  <si>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</si>
  <si>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</si>
  <si>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</si>
  <si>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</si>
  <si>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</si>
  <si>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</si>
  <si>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</si>
  <si>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</si>
  <si>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</si>
  <si>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</si>
  <si>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</si>
  <si>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</si>
  <si>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</si>
  <si>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</si>
  <si>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</si>
  <si>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</si>
  <si>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</si>
  <si>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</si>
  <si>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</si>
  <si>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</si>
  <si>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</si>
  <si>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</si>
  <si>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</si>
  <si>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</si>
  <si>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</si>
  <si>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</si>
  <si>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</si>
  <si>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</si>
  <si>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</si>
  <si>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</si>
  <si>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</si>
  <si>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</si>
  <si>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</si>
  <si>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</si>
  <si>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</si>
  <si>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</si>
  <si>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</si>
  <si>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</si>
  <si>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</si>
  <si>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</si>
  <si>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</si>
  <si>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</si>
  <si>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</si>
  <si>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</si>
  <si>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</si>
  <si>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</si>
  <si>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</si>
  <si>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stan na 31-12-2021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</si>
  <si>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</si>
  <si>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</si>
  <si>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</si>
  <si>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</si>
  <si>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</si>
  <si>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</si>
  <si>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</si>
  <si>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</si>
  <si>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</si>
  <si>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</si>
  <si>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 lub spadek do początku roku (pkt. proc.)</t>
  </si>
  <si>
    <t>wzrost/spadek do początku roku (pkt. proc.)</t>
  </si>
  <si>
    <t>wzrost/spadek</t>
  </si>
  <si>
    <t>Zmiana stanu na koniec okresu [liczba bezrobotnych]</t>
  </si>
  <si>
    <t>liczba bezrobotnych kobiet stan na 31 X '23 r.</t>
  </si>
  <si>
    <t>liczba ofert w X '23 r.</t>
  </si>
  <si>
    <t>WARMIŃSKO - MAZURSKIE</t>
  </si>
  <si>
    <t xml:space="preserve">* GUS, Bank Danych Lokalnych 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</si>
  <si>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</si>
  <si>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</si>
  <si>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</si>
  <si>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liczba bezrobotnych ogółem stan na 30 XI '22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</si>
  <si>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30 XI '23 r.</t>
    </r>
  </si>
  <si>
    <t>liczba bezrobotnych ogółem stan na 31 X '23 r.</t>
  </si>
  <si>
    <t>liczba bezrobotnych kobiet stan na 30 XI '22 r.</t>
  </si>
  <si>
    <t>liczba bezrobotnych kobiet stan na 30 XI '23 r.</t>
  </si>
  <si>
    <t>Stopa bezrobocia stan na 31 X '23 r. (w proc.)*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</si>
  <si>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30 XI '23 r. </t>
    </r>
    <r>
      <rPr>
        <sz val="11"/>
        <color theme="1"/>
        <rFont val="Arial"/>
        <family val="2"/>
        <charset val="238"/>
      </rPr>
      <t>(w proc.)*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</si>
  <si>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>30 XI '22 r.</t>
    </r>
    <r>
      <rPr>
        <sz val="11"/>
        <color theme="1"/>
        <rFont val="Arial"/>
        <family val="2"/>
        <charset val="238"/>
      </rPr>
      <t xml:space="preserve"> (w proc.)*</t>
    </r>
  </si>
  <si>
    <t>Stopa bezrobocia stan na 31 X '23 r. w proc. *</t>
  </si>
  <si>
    <r>
      <t xml:space="preserve">Stopa bezrobocia stan na </t>
    </r>
    <r>
      <rPr>
        <sz val="12"/>
        <color theme="1"/>
        <rFont val="Arial"/>
        <family val="2"/>
        <charset val="238"/>
      </rPr>
      <t>30 XI '22 r</t>
    </r>
    <r>
      <rPr>
        <sz val="11"/>
        <color theme="1"/>
        <rFont val="Arial"/>
        <family val="2"/>
        <charset val="238"/>
      </rPr>
      <t>. w proc.*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</si>
  <si>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30 XI '23 </t>
    </r>
    <r>
      <rPr>
        <sz val="11"/>
        <color theme="1"/>
        <rFont val="Arial"/>
        <family val="2"/>
        <charset val="238"/>
      </rPr>
      <t>r. w proc.*</t>
    </r>
  </si>
  <si>
    <t>liczba bezrobotnych zam. na wsi stan na 31 X '23 r.</t>
  </si>
  <si>
    <r>
      <t xml:space="preserve">liczba bezrobotnych zam. na wsi stan na </t>
    </r>
    <r>
      <rPr>
        <sz val="12"/>
        <color theme="1"/>
        <rFont val="Arial"/>
        <family val="2"/>
        <charset val="238"/>
      </rPr>
      <t>30 XI '22 r.</t>
    </r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</si>
  <si>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30 XI '23 r.</t>
    </r>
  </si>
  <si>
    <t>liczba bezrobotnych pow. 12 m-cy stan na 31 X '23 r.</t>
  </si>
  <si>
    <r>
      <t xml:space="preserve">liczba bezrobotnych pow. 12 m-cy stan na </t>
    </r>
    <r>
      <rPr>
        <sz val="12"/>
        <color theme="1"/>
        <rFont val="Arial"/>
        <family val="2"/>
        <charset val="238"/>
      </rPr>
      <t>30 XI '23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</si>
  <si>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30 XI '22 r.</t>
    </r>
  </si>
  <si>
    <t>liczba bezrobotnych do 30 r. ż. stan na 31 X '23 r.</t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</si>
  <si>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30 XI '23 r.</t>
    </r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</si>
  <si>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30 XI '22 r.</t>
    </r>
  </si>
  <si>
    <t>liczba bezrobotnych 50+ stan na 31 X '23 r.</t>
  </si>
  <si>
    <r>
      <t xml:space="preserve">liczba bezrobotnych 50+ stan na </t>
    </r>
    <r>
      <rPr>
        <sz val="12"/>
        <color theme="1"/>
        <rFont val="Arial"/>
        <family val="2"/>
        <charset val="238"/>
      </rPr>
      <t>30 XI '23 r.</t>
    </r>
  </si>
  <si>
    <r>
      <t xml:space="preserve">liczba bezrobotnych 50+ stan na </t>
    </r>
    <r>
      <rPr>
        <sz val="12"/>
        <color theme="1"/>
        <rFont val="Arial"/>
        <family val="2"/>
        <charset val="238"/>
      </rPr>
      <t>30 XI '22 r.</t>
    </r>
  </si>
  <si>
    <t>liczba ofert w XI '22 r.</t>
  </si>
  <si>
    <t>liczba ofert w XI '23 r.</t>
  </si>
  <si>
    <t>podjecia pracy niesubs. I - XI 2022</t>
  </si>
  <si>
    <t>podjecia pracy niesubs. I - XI 2023</t>
  </si>
  <si>
    <t>praca subs. I - XI 2022</t>
  </si>
  <si>
    <t>praca subs. I - XI 2023</t>
  </si>
  <si>
    <t>staże I - XI 2022</t>
  </si>
  <si>
    <t>staże I - XI 2023</t>
  </si>
  <si>
    <t>stan na 30-11-2023</t>
  </si>
  <si>
    <t>stan na 30-11-2022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</si>
  <si>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</si>
  <si>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</si>
  <si>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</si>
  <si>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</si>
  <si>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</si>
  <si>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</si>
  <si>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</si>
  <si>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</si>
  <si>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</si>
  <si>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</si>
  <si>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</si>
  <si>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S-UD</t>
  </si>
  <si>
    <t>SLD</t>
  </si>
  <si>
    <t>AWS</t>
  </si>
  <si>
    <t>PO</t>
  </si>
  <si>
    <t>PIS</t>
  </si>
  <si>
    <t>POPIS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</si>
</sst>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275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3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3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3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9" fillId="2" borderId="28" xfId="4" quotePrefix="1" applyFont="1" applyFill="1" applyBorder="1" applyAlignment="1">
      <alignment horizontal="left" vertical="center" wrapText="1"/>
    </xf>
    <xf numFmtId="0" fontId="9" fillId="2" borderId="29" xfId="4" quotePrefix="1" applyFont="1" applyFill="1" applyBorder="1" applyAlignment="1">
      <alignment horizontal="left" vertical="center" wrapText="1"/>
    </xf>
    <xf numFmtId="0" fontId="9" fillId="2" borderId="30" xfId="4" quotePrefix="1" applyFont="1" applyFill="1" applyBorder="1" applyAlignment="1">
      <alignment horizontal="left" vertical="center" wrapText="1"/>
    </xf>
    <xf numFmtId="0" fontId="13" fillId="2" borderId="29" xfId="4" quotePrefix="1" applyFont="1" applyFill="1" applyBorder="1" applyAlignment="1">
      <alignment horizontal="left" vertical="center" wrapText="1"/>
    </xf>
    <xf numFmtId="0" fontId="13" fillId="2" borderId="30" xfId="4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2" borderId="27" xfId="3" quotePrefix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2" fontId="9" fillId="7" borderId="19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3" fillId="2" borderId="33" xfId="1" applyNumberFormat="1" applyFont="1" applyFill="1" applyBorder="1" applyAlignment="1">
      <alignment horizontal="center" vertical="center" wrapText="1"/>
    </xf>
    <xf numFmtId="1" fontId="13" fillId="2" borderId="35" xfId="1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top"/>
    </xf>
    <xf numFmtId="0" fontId="16" fillId="2" borderId="0" xfId="0" applyFont="1" applyFill="1"/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17" fillId="0" borderId="1" xfId="0" applyFont="1" applyBorder="1"/>
    <xf numFmtId="1" fontId="17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/>
    <xf numFmtId="0" fontId="19" fillId="9" borderId="8" xfId="0" applyFont="1" applyFill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/>
    </xf>
    <xf numFmtId="3" fontId="19" fillId="9" borderId="43" xfId="0" applyNumberFormat="1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4" fontId="19" fillId="2" borderId="10" xfId="0" applyNumberFormat="1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3" fontId="20" fillId="2" borderId="45" xfId="0" applyNumberFormat="1" applyFont="1" applyFill="1" applyBorder="1" applyAlignment="1">
      <alignment horizontal="center" vertical="center"/>
    </xf>
    <xf numFmtId="164" fontId="20" fillId="2" borderId="45" xfId="0" applyNumberFormat="1" applyFont="1" applyFill="1" applyBorder="1" applyAlignment="1">
      <alignment horizontal="center" vertical="center"/>
    </xf>
    <xf numFmtId="164" fontId="20" fillId="2" borderId="46" xfId="0" applyNumberFormat="1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3" fontId="20" fillId="2" borderId="47" xfId="0" applyNumberFormat="1" applyFont="1" applyFill="1" applyBorder="1" applyAlignment="1">
      <alignment horizontal="center" vertical="center"/>
    </xf>
    <xf numFmtId="164" fontId="20" fillId="2" borderId="47" xfId="0" applyNumberFormat="1" applyFont="1" applyFill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/>
    </xf>
    <xf numFmtId="0" fontId="19" fillId="2" borderId="48" xfId="0" applyFont="1" applyFill="1" applyBorder="1"/>
    <xf numFmtId="3" fontId="19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3" fontId="20" fillId="0" borderId="49" xfId="0" applyNumberFormat="1" applyFont="1" applyBorder="1" applyAlignment="1">
      <alignment horizontal="center" vertical="center"/>
    </xf>
    <xf numFmtId="3" fontId="19" fillId="0" borderId="49" xfId="0" applyNumberFormat="1" applyFont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/>
    </xf>
    <xf numFmtId="0" fontId="19" fillId="2" borderId="4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" fontId="20" fillId="0" borderId="44" xfId="0" applyNumberFormat="1" applyFont="1" applyBorder="1" applyAlignment="1">
      <alignment horizontal="center" vertical="center"/>
    </xf>
    <xf numFmtId="164" fontId="19" fillId="0" borderId="44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3" fontId="19" fillId="2" borderId="44" xfId="0" applyNumberFormat="1" applyFont="1" applyFill="1" applyBorder="1" applyAlignment="1">
      <alignment horizontal="center" vertical="center"/>
    </xf>
    <xf numFmtId="164" fontId="19" fillId="2" borderId="44" xfId="0" applyNumberFormat="1" applyFont="1" applyFill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3" fontId="19" fillId="2" borderId="50" xfId="0" applyNumberFormat="1" applyFont="1" applyFill="1" applyBorder="1" applyAlignment="1">
      <alignment horizontal="center" vertical="center"/>
    </xf>
    <xf numFmtId="164" fontId="19" fillId="2" borderId="50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4" fontId="19" fillId="2" borderId="51" xfId="0" applyNumberFormat="1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3" fontId="19" fillId="0" borderId="52" xfId="0" applyNumberFormat="1" applyFont="1" applyBorder="1" applyAlignment="1">
      <alignment horizontal="center" vertical="center"/>
    </xf>
    <xf numFmtId="165" fontId="20" fillId="0" borderId="52" xfId="0" applyNumberFormat="1" applyFont="1" applyBorder="1" applyAlignment="1">
      <alignment horizontal="center" vertical="center"/>
    </xf>
    <xf numFmtId="165" fontId="19" fillId="0" borderId="53" xfId="0" applyNumberFormat="1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4" fontId="19" fillId="2" borderId="49" xfId="0" applyNumberFormat="1" applyFont="1" applyFill="1" applyBorder="1" applyAlignment="1">
      <alignment horizontal="center" vertical="center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8" borderId="10" xfId="0" applyNumberFormat="1" applyFont="1" applyFill="1" applyBorder="1" applyAlignment="1">
      <alignment horizontal="center" vertical="center"/>
    </xf>
    <xf numFmtId="1" fontId="9" fillId="8" borderId="12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" fontId="9" fillId="8" borderId="20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5E4E3"/>
      <color rgb="FF0000FF"/>
      <color rgb="FFFABF8F"/>
      <color rgb="FFFDE2CB"/>
      <color rgb="FFC49F00"/>
      <color rgb="FFFFCC00"/>
      <color rgb="FFCCFFFF"/>
      <color rgb="FFFFF2B3"/>
      <color rgb="FFFFEE9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11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993041895196437"/>
          <c:y val="1.42675591357509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łańcucki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774</c:v>
                </c:pt>
                <c:pt idx="1">
                  <c:v>1035</c:v>
                </c:pt>
                <c:pt idx="2">
                  <c:v>1046</c:v>
                </c:pt>
                <c:pt idx="3">
                  <c:v>1255</c:v>
                </c:pt>
                <c:pt idx="4">
                  <c:v>1478</c:v>
                </c:pt>
                <c:pt idx="5">
                  <c:v>1667</c:v>
                </c:pt>
                <c:pt idx="6">
                  <c:v>1760</c:v>
                </c:pt>
                <c:pt idx="7">
                  <c:v>1918</c:v>
                </c:pt>
                <c:pt idx="8">
                  <c:v>2136</c:v>
                </c:pt>
                <c:pt idx="9">
                  <c:v>2307</c:v>
                </c:pt>
                <c:pt idx="10">
                  <c:v>2400</c:v>
                </c:pt>
                <c:pt idx="11">
                  <c:v>2413</c:v>
                </c:pt>
                <c:pt idx="12">
                  <c:v>2495</c:v>
                </c:pt>
                <c:pt idx="13">
                  <c:v>2700</c:v>
                </c:pt>
                <c:pt idx="14">
                  <c:v>2839</c:v>
                </c:pt>
                <c:pt idx="15">
                  <c:v>2942</c:v>
                </c:pt>
                <c:pt idx="16">
                  <c:v>2965</c:v>
                </c:pt>
                <c:pt idx="17">
                  <c:v>2975</c:v>
                </c:pt>
                <c:pt idx="18">
                  <c:v>2999</c:v>
                </c:pt>
                <c:pt idx="19">
                  <c:v>3254</c:v>
                </c:pt>
                <c:pt idx="20">
                  <c:v>3736</c:v>
                </c:pt>
                <c:pt idx="21">
                  <c:v>4167</c:v>
                </c:pt>
                <c:pt idx="22">
                  <c:v>4647</c:v>
                </c:pt>
                <c:pt idx="23">
                  <c:v>4968</c:v>
                </c:pt>
                <c:pt idx="24">
                  <c:v>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bieszczadzki</c:v>
                </c:pt>
                <c:pt idx="1">
                  <c:v>przemyski</c:v>
                </c:pt>
                <c:pt idx="2">
                  <c:v>leski</c:v>
                </c:pt>
                <c:pt idx="3">
                  <c:v>brzozowski</c:v>
                </c:pt>
                <c:pt idx="4">
                  <c:v>Przemyśl</c:v>
                </c:pt>
                <c:pt idx="5">
                  <c:v>Krosno</c:v>
                </c:pt>
                <c:pt idx="6">
                  <c:v>lubaczowski</c:v>
                </c:pt>
                <c:pt idx="7">
                  <c:v>krośnieński</c:v>
                </c:pt>
                <c:pt idx="8">
                  <c:v>niżański</c:v>
                </c:pt>
                <c:pt idx="9">
                  <c:v>łańcucki</c:v>
                </c:pt>
                <c:pt idx="10">
                  <c:v>sanocki</c:v>
                </c:pt>
                <c:pt idx="11">
                  <c:v>strzyżowski</c:v>
                </c:pt>
                <c:pt idx="12">
                  <c:v>Tarnobrzeg</c:v>
                </c:pt>
                <c:pt idx="13">
                  <c:v>kolbuszowski</c:v>
                </c:pt>
                <c:pt idx="14">
                  <c:v>tarnobrzeski </c:v>
                </c:pt>
                <c:pt idx="15">
                  <c:v>leżajski</c:v>
                </c:pt>
                <c:pt idx="16">
                  <c:v>rzeszowski</c:v>
                </c:pt>
                <c:pt idx="17">
                  <c:v>stalowowolski</c:v>
                </c:pt>
                <c:pt idx="18">
                  <c:v>ropczycko-sędziszowski</c:v>
                </c:pt>
                <c:pt idx="19">
                  <c:v>dębicki</c:v>
                </c:pt>
                <c:pt idx="20">
                  <c:v>jasielski</c:v>
                </c:pt>
                <c:pt idx="21">
                  <c:v>mielecki</c:v>
                </c:pt>
                <c:pt idx="22">
                  <c:v>przeworski</c:v>
                </c:pt>
                <c:pt idx="23">
                  <c:v>jarosławski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7</c:v>
                </c:pt>
                <c:pt idx="1">
                  <c:v>7</c:v>
                </c:pt>
                <c:pt idx="2">
                  <c:v>17</c:v>
                </c:pt>
                <c:pt idx="3">
                  <c:v>27</c:v>
                </c:pt>
                <c:pt idx="4">
                  <c:v>39</c:v>
                </c:pt>
                <c:pt idx="5">
                  <c:v>43</c:v>
                </c:pt>
                <c:pt idx="6">
                  <c:v>44</c:v>
                </c:pt>
                <c:pt idx="7">
                  <c:v>49</c:v>
                </c:pt>
                <c:pt idx="8">
                  <c:v>52</c:v>
                </c:pt>
                <c:pt idx="9">
                  <c:v>56</c:v>
                </c:pt>
                <c:pt idx="10">
                  <c:v>58</c:v>
                </c:pt>
                <c:pt idx="11">
                  <c:v>62</c:v>
                </c:pt>
                <c:pt idx="12">
                  <c:v>64</c:v>
                </c:pt>
                <c:pt idx="13">
                  <c:v>68</c:v>
                </c:pt>
                <c:pt idx="14">
                  <c:v>90</c:v>
                </c:pt>
                <c:pt idx="15">
                  <c:v>97</c:v>
                </c:pt>
                <c:pt idx="16">
                  <c:v>103</c:v>
                </c:pt>
                <c:pt idx="17">
                  <c:v>150</c:v>
                </c:pt>
                <c:pt idx="18">
                  <c:v>153</c:v>
                </c:pt>
                <c:pt idx="19">
                  <c:v>212</c:v>
                </c:pt>
                <c:pt idx="20">
                  <c:v>243</c:v>
                </c:pt>
                <c:pt idx="21">
                  <c:v>312</c:v>
                </c:pt>
                <c:pt idx="22">
                  <c:v>312</c:v>
                </c:pt>
                <c:pt idx="23">
                  <c:v>638</c:v>
                </c:pt>
                <c:pt idx="24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przemyski</c:v>
                </c:pt>
                <c:pt idx="1">
                  <c:v>leski</c:v>
                </c:pt>
                <c:pt idx="2">
                  <c:v>bieszczadzki</c:v>
                </c:pt>
                <c:pt idx="3">
                  <c:v>łańcucki</c:v>
                </c:pt>
                <c:pt idx="4">
                  <c:v>tarnobrzeski </c:v>
                </c:pt>
                <c:pt idx="5">
                  <c:v>Krosno</c:v>
                </c:pt>
                <c:pt idx="6">
                  <c:v>Przemyśl</c:v>
                </c:pt>
                <c:pt idx="7">
                  <c:v>krośnieński</c:v>
                </c:pt>
                <c:pt idx="8">
                  <c:v>dębicki</c:v>
                </c:pt>
                <c:pt idx="9">
                  <c:v>stalowowolski</c:v>
                </c:pt>
                <c:pt idx="10">
                  <c:v>Tarnobrzeg</c:v>
                </c:pt>
                <c:pt idx="11">
                  <c:v>mielecki</c:v>
                </c:pt>
                <c:pt idx="12">
                  <c:v>brzozowski</c:v>
                </c:pt>
                <c:pt idx="13">
                  <c:v>leżajski</c:v>
                </c:pt>
                <c:pt idx="14">
                  <c:v>kolbuszowski</c:v>
                </c:pt>
                <c:pt idx="15">
                  <c:v>rzeszowski</c:v>
                </c:pt>
                <c:pt idx="16">
                  <c:v>strzyżowski</c:v>
                </c:pt>
                <c:pt idx="17">
                  <c:v>lubaczowski</c:v>
                </c:pt>
                <c:pt idx="18">
                  <c:v>niżański</c:v>
                </c:pt>
                <c:pt idx="19">
                  <c:v>jasielski</c:v>
                </c:pt>
                <c:pt idx="20">
                  <c:v>sanocki</c:v>
                </c:pt>
                <c:pt idx="21">
                  <c:v>ropczycko-sędziszowski</c:v>
                </c:pt>
                <c:pt idx="22">
                  <c:v>Rzeszów</c:v>
                </c:pt>
                <c:pt idx="23">
                  <c:v>przeworski</c:v>
                </c:pt>
                <c:pt idx="24">
                  <c:v>jarosławski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16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21</c:v>
                </c:pt>
                <c:pt idx="12">
                  <c:v>23</c:v>
                </c:pt>
                <c:pt idx="13">
                  <c:v>23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29</c:v>
                </c:pt>
                <c:pt idx="18">
                  <c:v>34</c:v>
                </c:pt>
                <c:pt idx="19">
                  <c:v>40</c:v>
                </c:pt>
                <c:pt idx="20">
                  <c:v>47</c:v>
                </c:pt>
                <c:pt idx="21">
                  <c:v>55</c:v>
                </c:pt>
                <c:pt idx="22">
                  <c:v>67</c:v>
                </c:pt>
                <c:pt idx="23">
                  <c:v>139</c:v>
                </c:pt>
                <c:pt idx="24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przemyski</c:v>
                </c:pt>
                <c:pt idx="1">
                  <c:v>brzozowski</c:v>
                </c:pt>
                <c:pt idx="2">
                  <c:v>leski</c:v>
                </c:pt>
                <c:pt idx="3">
                  <c:v>lubaczowski</c:v>
                </c:pt>
                <c:pt idx="4">
                  <c:v>sanocki</c:v>
                </c:pt>
                <c:pt idx="5">
                  <c:v>Krosno</c:v>
                </c:pt>
                <c:pt idx="6">
                  <c:v>bieszczadzki</c:v>
                </c:pt>
                <c:pt idx="7">
                  <c:v>Przemyśl</c:v>
                </c:pt>
                <c:pt idx="8">
                  <c:v>strzyżowski</c:v>
                </c:pt>
                <c:pt idx="9">
                  <c:v>łańcucki</c:v>
                </c:pt>
                <c:pt idx="10">
                  <c:v>kolbuszowski</c:v>
                </c:pt>
                <c:pt idx="11">
                  <c:v>stalowowolski</c:v>
                </c:pt>
                <c:pt idx="12">
                  <c:v>rzeszowski</c:v>
                </c:pt>
                <c:pt idx="13">
                  <c:v>krośnieński</c:v>
                </c:pt>
                <c:pt idx="14">
                  <c:v>leżajski</c:v>
                </c:pt>
                <c:pt idx="15">
                  <c:v>Tarnobrzeg</c:v>
                </c:pt>
                <c:pt idx="16">
                  <c:v>niżański</c:v>
                </c:pt>
                <c:pt idx="17">
                  <c:v>tarnobrzeski </c:v>
                </c:pt>
                <c:pt idx="18">
                  <c:v>ropczycko-sędziszowski</c:v>
                </c:pt>
                <c:pt idx="19">
                  <c:v>dębicki</c:v>
                </c:pt>
                <c:pt idx="20">
                  <c:v>jasielski</c:v>
                </c:pt>
                <c:pt idx="21">
                  <c:v>przeworski</c:v>
                </c:pt>
                <c:pt idx="22">
                  <c:v>jarosławski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1</c:v>
                </c:pt>
                <c:pt idx="1">
                  <c:v>3</c:v>
                </c:pt>
                <c:pt idx="2">
                  <c:v>11</c:v>
                </c:pt>
                <c:pt idx="3">
                  <c:v>24</c:v>
                </c:pt>
                <c:pt idx="4">
                  <c:v>25</c:v>
                </c:pt>
                <c:pt idx="5">
                  <c:v>25</c:v>
                </c:pt>
                <c:pt idx="6">
                  <c:v>26</c:v>
                </c:pt>
                <c:pt idx="7">
                  <c:v>33</c:v>
                </c:pt>
                <c:pt idx="8">
                  <c:v>41</c:v>
                </c:pt>
                <c:pt idx="9">
                  <c:v>45</c:v>
                </c:pt>
                <c:pt idx="10">
                  <c:v>53</c:v>
                </c:pt>
                <c:pt idx="11">
                  <c:v>56</c:v>
                </c:pt>
                <c:pt idx="12">
                  <c:v>66</c:v>
                </c:pt>
                <c:pt idx="13">
                  <c:v>70</c:v>
                </c:pt>
                <c:pt idx="14">
                  <c:v>71</c:v>
                </c:pt>
                <c:pt idx="15">
                  <c:v>73</c:v>
                </c:pt>
                <c:pt idx="16">
                  <c:v>85</c:v>
                </c:pt>
                <c:pt idx="17">
                  <c:v>87</c:v>
                </c:pt>
                <c:pt idx="18">
                  <c:v>126</c:v>
                </c:pt>
                <c:pt idx="19">
                  <c:v>127</c:v>
                </c:pt>
                <c:pt idx="20">
                  <c:v>145</c:v>
                </c:pt>
                <c:pt idx="21">
                  <c:v>210</c:v>
                </c:pt>
                <c:pt idx="22">
                  <c:v>269</c:v>
                </c:pt>
                <c:pt idx="23">
                  <c:v>337</c:v>
                </c:pt>
                <c:pt idx="24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stycznia danego roku</a:t>
            </a:r>
          </a:p>
        </c:rich>
      </c:tx>
      <c:layout>
        <c:manualLayout>
          <c:xMode val="edge"/>
          <c:yMode val="edge"/>
          <c:x val="0.18475039800352822"/>
          <c:y val="0.520744154526333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XXXIII!$K$3:$K$36</c:f>
              <c:numCache>
                <c:formatCode>m/d/yyyy</c:formatCode>
                <c:ptCount val="34"/>
                <c:pt idx="0">
                  <c:v>32904</c:v>
                </c:pt>
                <c:pt idx="1">
                  <c:v>33269</c:v>
                </c:pt>
                <c:pt idx="2">
                  <c:v>33634</c:v>
                </c:pt>
                <c:pt idx="3">
                  <c:v>34000</c:v>
                </c:pt>
                <c:pt idx="4">
                  <c:v>34365</c:v>
                </c:pt>
                <c:pt idx="5">
                  <c:v>34730</c:v>
                </c:pt>
                <c:pt idx="6">
                  <c:v>35095</c:v>
                </c:pt>
                <c:pt idx="7">
                  <c:v>35461</c:v>
                </c:pt>
                <c:pt idx="8">
                  <c:v>35826</c:v>
                </c:pt>
                <c:pt idx="9">
                  <c:v>36191</c:v>
                </c:pt>
                <c:pt idx="10">
                  <c:v>36556</c:v>
                </c:pt>
                <c:pt idx="11">
                  <c:v>36922</c:v>
                </c:pt>
                <c:pt idx="12">
                  <c:v>37287</c:v>
                </c:pt>
                <c:pt idx="13">
                  <c:v>37652</c:v>
                </c:pt>
                <c:pt idx="14">
                  <c:v>38017</c:v>
                </c:pt>
                <c:pt idx="15">
                  <c:v>38383</c:v>
                </c:pt>
                <c:pt idx="16">
                  <c:v>38748</c:v>
                </c:pt>
                <c:pt idx="17">
                  <c:v>39113</c:v>
                </c:pt>
                <c:pt idx="18">
                  <c:v>39478</c:v>
                </c:pt>
                <c:pt idx="19">
                  <c:v>39844</c:v>
                </c:pt>
                <c:pt idx="20">
                  <c:v>40209</c:v>
                </c:pt>
                <c:pt idx="21">
                  <c:v>40574</c:v>
                </c:pt>
                <c:pt idx="22">
                  <c:v>40939</c:v>
                </c:pt>
                <c:pt idx="23">
                  <c:v>41305</c:v>
                </c:pt>
                <c:pt idx="24">
                  <c:v>41670</c:v>
                </c:pt>
                <c:pt idx="25">
                  <c:v>42035</c:v>
                </c:pt>
                <c:pt idx="26">
                  <c:v>42400</c:v>
                </c:pt>
                <c:pt idx="27">
                  <c:v>42766</c:v>
                </c:pt>
                <c:pt idx="28">
                  <c:v>43131</c:v>
                </c:pt>
                <c:pt idx="29">
                  <c:v>43496</c:v>
                </c:pt>
                <c:pt idx="30">
                  <c:v>43861</c:v>
                </c:pt>
                <c:pt idx="31">
                  <c:v>44227</c:v>
                </c:pt>
                <c:pt idx="32">
                  <c:v>44592</c:v>
                </c:pt>
                <c:pt idx="33">
                  <c:v>44957</c:v>
                </c:pt>
              </c:numCache>
            </c:numRef>
          </c:cat>
          <c:val>
            <c:numRef>
              <c:f>XXXIII!$L$3:$L$36</c:f>
              <c:numCache>
                <c:formatCode>General</c:formatCode>
                <c:ptCount val="34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XXXIII!$K$3:$K$36</c:f>
              <c:numCache>
                <c:formatCode>m/d/yyyy</c:formatCode>
                <c:ptCount val="34"/>
                <c:pt idx="0">
                  <c:v>32904</c:v>
                </c:pt>
                <c:pt idx="1">
                  <c:v>33269</c:v>
                </c:pt>
                <c:pt idx="2">
                  <c:v>33634</c:v>
                </c:pt>
                <c:pt idx="3">
                  <c:v>34000</c:v>
                </c:pt>
                <c:pt idx="4">
                  <c:v>34365</c:v>
                </c:pt>
                <c:pt idx="5">
                  <c:v>34730</c:v>
                </c:pt>
                <c:pt idx="6">
                  <c:v>35095</c:v>
                </c:pt>
                <c:pt idx="7">
                  <c:v>35461</c:v>
                </c:pt>
                <c:pt idx="8">
                  <c:v>35826</c:v>
                </c:pt>
                <c:pt idx="9">
                  <c:v>36191</c:v>
                </c:pt>
                <c:pt idx="10">
                  <c:v>36556</c:v>
                </c:pt>
                <c:pt idx="11">
                  <c:v>36922</c:v>
                </c:pt>
                <c:pt idx="12">
                  <c:v>37287</c:v>
                </c:pt>
                <c:pt idx="13">
                  <c:v>37652</c:v>
                </c:pt>
                <c:pt idx="14">
                  <c:v>38017</c:v>
                </c:pt>
                <c:pt idx="15">
                  <c:v>38383</c:v>
                </c:pt>
                <c:pt idx="16">
                  <c:v>38748</c:v>
                </c:pt>
                <c:pt idx="17">
                  <c:v>39113</c:v>
                </c:pt>
                <c:pt idx="18">
                  <c:v>39478</c:v>
                </c:pt>
                <c:pt idx="19">
                  <c:v>39844</c:v>
                </c:pt>
                <c:pt idx="20">
                  <c:v>40209</c:v>
                </c:pt>
                <c:pt idx="21">
                  <c:v>40574</c:v>
                </c:pt>
                <c:pt idx="22">
                  <c:v>40939</c:v>
                </c:pt>
                <c:pt idx="23">
                  <c:v>41305</c:v>
                </c:pt>
                <c:pt idx="24">
                  <c:v>41670</c:v>
                </c:pt>
                <c:pt idx="25">
                  <c:v>42035</c:v>
                </c:pt>
                <c:pt idx="26">
                  <c:v>42400</c:v>
                </c:pt>
                <c:pt idx="27">
                  <c:v>42766</c:v>
                </c:pt>
                <c:pt idx="28">
                  <c:v>43131</c:v>
                </c:pt>
                <c:pt idx="29">
                  <c:v>43496</c:v>
                </c:pt>
                <c:pt idx="30">
                  <c:v>43861</c:v>
                </c:pt>
                <c:pt idx="31">
                  <c:v>44227</c:v>
                </c:pt>
                <c:pt idx="32">
                  <c:v>44592</c:v>
                </c:pt>
                <c:pt idx="33">
                  <c:v>44957</c:v>
                </c:pt>
              </c:numCache>
            </c:numRef>
          </c:cat>
          <c:val>
            <c:numRef>
              <c:f>XXXIII!$M$3:$M$36</c:f>
              <c:numCache>
                <c:formatCode>General</c:formatCode>
                <c:ptCount val="34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accent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year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078963900004302"/>
          <c:y val="0.58571078400449872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302038841388206"/>
          <c:y val="0.549382716049382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XXXIII!$C$3:$C$36</c:f>
              <c:numCache>
                <c:formatCode>General</c:formatCode>
                <c:ptCount val="34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XXXIII!$D$3:$D$36</c:f>
              <c:numCache>
                <c:formatCode>General</c:formatCode>
                <c:ptCount val="34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8.3000000000000007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337005256281135"/>
          <c:y val="0.61040196364343347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523881894130952"/>
          <c:y val="0.580076200152400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45230</c:v>
                </c:pt>
              </c:numCache>
            </c:num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64968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45230</c:v>
                </c:pt>
              </c:numCache>
            </c:num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34067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45230</c:v>
                </c:pt>
              </c:numCache>
            </c:num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30901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month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4336997392796783"/>
          <c:y val="0.64112389177159324"/>
          <c:w val="0.71680742070302772"/>
          <c:h val="9.1217146243816299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kumimoji="0" lang="pl-PL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ropczycko-sędziszowski</c:v>
                </c:pt>
                <c:pt idx="1">
                  <c:v>Tarnobrzeg</c:v>
                </c:pt>
                <c:pt idx="2">
                  <c:v>przeworski</c:v>
                </c:pt>
                <c:pt idx="3">
                  <c:v>tarnobrzeski </c:v>
                </c:pt>
                <c:pt idx="4">
                  <c:v>Krosno</c:v>
                </c:pt>
                <c:pt idx="5">
                  <c:v>Przemyśl</c:v>
                </c:pt>
                <c:pt idx="6">
                  <c:v>jarosławski</c:v>
                </c:pt>
                <c:pt idx="7">
                  <c:v>kolbuszowski</c:v>
                </c:pt>
                <c:pt idx="8">
                  <c:v>przemyski</c:v>
                </c:pt>
                <c:pt idx="9">
                  <c:v>sanocki</c:v>
                </c:pt>
                <c:pt idx="10">
                  <c:v>stalowowolski</c:v>
                </c:pt>
                <c:pt idx="11">
                  <c:v>mielecki</c:v>
                </c:pt>
                <c:pt idx="12">
                  <c:v>niżański</c:v>
                </c:pt>
                <c:pt idx="13">
                  <c:v>dębicki</c:v>
                </c:pt>
                <c:pt idx="14">
                  <c:v>bieszczadzki</c:v>
                </c:pt>
                <c:pt idx="15">
                  <c:v>łańcucki</c:v>
                </c:pt>
                <c:pt idx="16">
                  <c:v>leżajski</c:v>
                </c:pt>
                <c:pt idx="17">
                  <c:v>krośnieński</c:v>
                </c:pt>
                <c:pt idx="18">
                  <c:v>strzyżowski</c:v>
                </c:pt>
                <c:pt idx="19">
                  <c:v>Rzeszów</c:v>
                </c:pt>
                <c:pt idx="20">
                  <c:v>brzozowski</c:v>
                </c:pt>
                <c:pt idx="21">
                  <c:v>lubaczowski</c:v>
                </c:pt>
                <c:pt idx="22">
                  <c:v>leski</c:v>
                </c:pt>
                <c:pt idx="23">
                  <c:v>rzeszowski</c:v>
                </c:pt>
                <c:pt idx="24">
                  <c:v>jasielski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-42</c:v>
                </c:pt>
                <c:pt idx="1">
                  <c:v>-19</c:v>
                </c:pt>
                <c:pt idx="2">
                  <c:v>-10</c:v>
                </c:pt>
                <c:pt idx="3">
                  <c:v>4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16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32</c:v>
                </c:pt>
                <c:pt idx="14">
                  <c:v>48</c:v>
                </c:pt>
                <c:pt idx="15">
                  <c:v>49</c:v>
                </c:pt>
                <c:pt idx="16">
                  <c:v>54</c:v>
                </c:pt>
                <c:pt idx="17">
                  <c:v>55</c:v>
                </c:pt>
                <c:pt idx="18">
                  <c:v>61</c:v>
                </c:pt>
                <c:pt idx="19">
                  <c:v>71</c:v>
                </c:pt>
                <c:pt idx="20">
                  <c:v>91</c:v>
                </c:pt>
                <c:pt idx="21">
                  <c:v>97</c:v>
                </c:pt>
                <c:pt idx="22">
                  <c:v>106</c:v>
                </c:pt>
                <c:pt idx="23">
                  <c:v>114</c:v>
                </c:pt>
                <c:pt idx="24">
                  <c:v>138</c:v>
                </c:pt>
                <c:pt idx="25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dębicki</c:v>
                </c:pt>
                <c:pt idx="14">
                  <c:v>mielecki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424</c:v>
                </c:pt>
                <c:pt idx="1">
                  <c:v>518</c:v>
                </c:pt>
                <c:pt idx="2">
                  <c:v>538</c:v>
                </c:pt>
                <c:pt idx="3">
                  <c:v>662</c:v>
                </c:pt>
                <c:pt idx="4">
                  <c:v>725</c:v>
                </c:pt>
                <c:pt idx="5">
                  <c:v>774</c:v>
                </c:pt>
                <c:pt idx="6">
                  <c:v>817</c:v>
                </c:pt>
                <c:pt idx="7">
                  <c:v>1055</c:v>
                </c:pt>
                <c:pt idx="8">
                  <c:v>1153</c:v>
                </c:pt>
                <c:pt idx="9">
                  <c:v>1178</c:v>
                </c:pt>
                <c:pt idx="10">
                  <c:v>1182</c:v>
                </c:pt>
                <c:pt idx="11">
                  <c:v>1338</c:v>
                </c:pt>
                <c:pt idx="12">
                  <c:v>1342</c:v>
                </c:pt>
                <c:pt idx="13">
                  <c:v>1427</c:v>
                </c:pt>
                <c:pt idx="14">
                  <c:v>1459</c:v>
                </c:pt>
                <c:pt idx="15">
                  <c:v>1459</c:v>
                </c:pt>
                <c:pt idx="16">
                  <c:v>1528</c:v>
                </c:pt>
                <c:pt idx="17">
                  <c:v>1548</c:v>
                </c:pt>
                <c:pt idx="18">
                  <c:v>1586</c:v>
                </c:pt>
                <c:pt idx="19">
                  <c:v>1760</c:v>
                </c:pt>
                <c:pt idx="20">
                  <c:v>1887</c:v>
                </c:pt>
                <c:pt idx="21">
                  <c:v>2182</c:v>
                </c:pt>
                <c:pt idx="22">
                  <c:v>2282</c:v>
                </c:pt>
                <c:pt idx="23">
                  <c:v>2595</c:v>
                </c:pt>
                <c:pt idx="24">
                  <c:v>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MAŁOPOLSKIE</c:v>
                </c:pt>
                <c:pt idx="3">
                  <c:v>MAZOWIECKIE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2.9</c:v>
                </c:pt>
                <c:pt idx="1">
                  <c:v>3.5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4.3</c:v>
                </c:pt>
                <c:pt idx="5">
                  <c:v>4.4000000000000004</c:v>
                </c:pt>
                <c:pt idx="6">
                  <c:v>4.5999999999999996</c:v>
                </c:pt>
                <c:pt idx="7">
                  <c:v>5</c:v>
                </c:pt>
                <c:pt idx="8">
                  <c:v>5.3</c:v>
                </c:pt>
                <c:pt idx="9">
                  <c:v>5.6</c:v>
                </c:pt>
                <c:pt idx="10">
                  <c:v>6.6</c:v>
                </c:pt>
                <c:pt idx="11">
                  <c:v>6.8</c:v>
                </c:pt>
                <c:pt idx="12">
                  <c:v>6.9</c:v>
                </c:pt>
                <c:pt idx="13">
                  <c:v>7.3</c:v>
                </c:pt>
                <c:pt idx="14">
                  <c:v>7.5</c:v>
                </c:pt>
                <c:pt idx="15">
                  <c:v>8</c:v>
                </c:pt>
                <c:pt idx="16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POLSKA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kolbuszowski</c:v>
                </c:pt>
                <c:pt idx="9">
                  <c:v>Powiat rzeszowski</c:v>
                </c:pt>
                <c:pt idx="10">
                  <c:v>Powiat krośnieński</c:v>
                </c:pt>
                <c:pt idx="11">
                  <c:v>Powiat sanocki</c:v>
                </c:pt>
                <c:pt idx="12">
                  <c:v>PODKARPACKIE</c:v>
                </c:pt>
                <c:pt idx="13">
                  <c:v>Powiat łańcucki</c:v>
                </c:pt>
                <c:pt idx="14">
                  <c:v>Powiat m.Przemyśl</c:v>
                </c:pt>
                <c:pt idx="15">
                  <c:v>Powiat lubaczowski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2.9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4.7</c:v>
                </c:pt>
                <c:pt idx="4">
                  <c:v>5</c:v>
                </c:pt>
                <c:pt idx="5">
                  <c:v>5.0999999999999996</c:v>
                </c:pt>
                <c:pt idx="6">
                  <c:v>6.9</c:v>
                </c:pt>
                <c:pt idx="7">
                  <c:v>7.4</c:v>
                </c:pt>
                <c:pt idx="8">
                  <c:v>7.5</c:v>
                </c:pt>
                <c:pt idx="9">
                  <c:v>7.6</c:v>
                </c:pt>
                <c:pt idx="10">
                  <c:v>8</c:v>
                </c:pt>
                <c:pt idx="11">
                  <c:v>8</c:v>
                </c:pt>
                <c:pt idx="12">
                  <c:v>8.4</c:v>
                </c:pt>
                <c:pt idx="13">
                  <c:v>9.1</c:v>
                </c:pt>
                <c:pt idx="14">
                  <c:v>9.8000000000000007</c:v>
                </c:pt>
                <c:pt idx="15">
                  <c:v>10.1</c:v>
                </c:pt>
                <c:pt idx="16">
                  <c:v>10.199999999999999</c:v>
                </c:pt>
                <c:pt idx="17">
                  <c:v>10.3</c:v>
                </c:pt>
                <c:pt idx="18">
                  <c:v>12.9</c:v>
                </c:pt>
                <c:pt idx="19">
                  <c:v>13.1</c:v>
                </c:pt>
                <c:pt idx="20">
                  <c:v>14</c:v>
                </c:pt>
                <c:pt idx="21">
                  <c:v>14.8</c:v>
                </c:pt>
                <c:pt idx="22">
                  <c:v>15</c:v>
                </c:pt>
                <c:pt idx="23">
                  <c:v>16</c:v>
                </c:pt>
                <c:pt idx="24">
                  <c:v>16.600000000000001</c:v>
                </c:pt>
                <c:pt idx="25">
                  <c:v>18.3</c:v>
                </c:pt>
                <c:pt idx="26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niżański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650</c:v>
                </c:pt>
                <c:pt idx="1">
                  <c:v>752</c:v>
                </c:pt>
                <c:pt idx="2">
                  <c:v>1031</c:v>
                </c:pt>
                <c:pt idx="3">
                  <c:v>1163</c:v>
                </c:pt>
                <c:pt idx="4">
                  <c:v>1301</c:v>
                </c:pt>
                <c:pt idx="5">
                  <c:v>1390</c:v>
                </c:pt>
                <c:pt idx="6">
                  <c:v>1416</c:v>
                </c:pt>
                <c:pt idx="7">
                  <c:v>1493</c:v>
                </c:pt>
                <c:pt idx="8">
                  <c:v>1564</c:v>
                </c:pt>
                <c:pt idx="9">
                  <c:v>1607</c:v>
                </c:pt>
                <c:pt idx="10">
                  <c:v>1904</c:v>
                </c:pt>
                <c:pt idx="11">
                  <c:v>1919</c:v>
                </c:pt>
                <c:pt idx="12">
                  <c:v>1950</c:v>
                </c:pt>
                <c:pt idx="13">
                  <c:v>2263</c:v>
                </c:pt>
                <c:pt idx="14">
                  <c:v>2495</c:v>
                </c:pt>
                <c:pt idx="15">
                  <c:v>2563</c:v>
                </c:pt>
                <c:pt idx="16">
                  <c:v>2697</c:v>
                </c:pt>
                <c:pt idx="17">
                  <c:v>2821</c:v>
                </c:pt>
                <c:pt idx="18">
                  <c:v>3445</c:v>
                </c:pt>
                <c:pt idx="19">
                  <c:v>3533</c:v>
                </c:pt>
                <c:pt idx="20">
                  <c:v>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299</c:v>
                </c:pt>
                <c:pt idx="1">
                  <c:v>535</c:v>
                </c:pt>
                <c:pt idx="2">
                  <c:v>604</c:v>
                </c:pt>
                <c:pt idx="3">
                  <c:v>617</c:v>
                </c:pt>
                <c:pt idx="4">
                  <c:v>739</c:v>
                </c:pt>
                <c:pt idx="5">
                  <c:v>766</c:v>
                </c:pt>
                <c:pt idx="6">
                  <c:v>900</c:v>
                </c:pt>
                <c:pt idx="7">
                  <c:v>932</c:v>
                </c:pt>
                <c:pt idx="8">
                  <c:v>967</c:v>
                </c:pt>
                <c:pt idx="9">
                  <c:v>1050</c:v>
                </c:pt>
                <c:pt idx="10">
                  <c:v>1246</c:v>
                </c:pt>
                <c:pt idx="11">
                  <c:v>1320</c:v>
                </c:pt>
                <c:pt idx="12">
                  <c:v>1327</c:v>
                </c:pt>
                <c:pt idx="13">
                  <c:v>1356</c:v>
                </c:pt>
                <c:pt idx="14">
                  <c:v>1495</c:v>
                </c:pt>
                <c:pt idx="15">
                  <c:v>1657</c:v>
                </c:pt>
                <c:pt idx="16">
                  <c:v>1687</c:v>
                </c:pt>
                <c:pt idx="17">
                  <c:v>1746</c:v>
                </c:pt>
                <c:pt idx="18">
                  <c:v>1913</c:v>
                </c:pt>
                <c:pt idx="19">
                  <c:v>1986</c:v>
                </c:pt>
                <c:pt idx="20">
                  <c:v>2410</c:v>
                </c:pt>
                <c:pt idx="21">
                  <c:v>2412</c:v>
                </c:pt>
                <c:pt idx="22">
                  <c:v>2622</c:v>
                </c:pt>
                <c:pt idx="23">
                  <c:v>3049</c:v>
                </c:pt>
                <c:pt idx="24">
                  <c:v>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Przemyśl</c:v>
                </c:pt>
                <c:pt idx="5">
                  <c:v>leski</c:v>
                </c:pt>
                <c:pt idx="6">
                  <c:v>kolbuszowski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mielecki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148</c:v>
                </c:pt>
                <c:pt idx="1">
                  <c:v>217</c:v>
                </c:pt>
                <c:pt idx="2">
                  <c:v>279</c:v>
                </c:pt>
                <c:pt idx="3">
                  <c:v>334</c:v>
                </c:pt>
                <c:pt idx="4">
                  <c:v>400</c:v>
                </c:pt>
                <c:pt idx="5">
                  <c:v>420</c:v>
                </c:pt>
                <c:pt idx="6">
                  <c:v>425</c:v>
                </c:pt>
                <c:pt idx="7">
                  <c:v>516</c:v>
                </c:pt>
                <c:pt idx="8">
                  <c:v>534</c:v>
                </c:pt>
                <c:pt idx="9">
                  <c:v>607</c:v>
                </c:pt>
                <c:pt idx="10">
                  <c:v>686</c:v>
                </c:pt>
                <c:pt idx="11">
                  <c:v>703</c:v>
                </c:pt>
                <c:pt idx="12">
                  <c:v>713</c:v>
                </c:pt>
                <c:pt idx="13">
                  <c:v>741</c:v>
                </c:pt>
                <c:pt idx="14">
                  <c:v>798</c:v>
                </c:pt>
                <c:pt idx="15">
                  <c:v>801</c:v>
                </c:pt>
                <c:pt idx="16">
                  <c:v>815</c:v>
                </c:pt>
                <c:pt idx="17">
                  <c:v>853</c:v>
                </c:pt>
                <c:pt idx="18">
                  <c:v>875</c:v>
                </c:pt>
                <c:pt idx="19">
                  <c:v>918</c:v>
                </c:pt>
                <c:pt idx="20">
                  <c:v>927</c:v>
                </c:pt>
                <c:pt idx="21">
                  <c:v>1015</c:v>
                </c:pt>
                <c:pt idx="22">
                  <c:v>1087</c:v>
                </c:pt>
                <c:pt idx="23">
                  <c:v>1250</c:v>
                </c:pt>
                <c:pt idx="24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stalowowolski</c:v>
                </c:pt>
                <c:pt idx="7">
                  <c:v>lubaczowski</c:v>
                </c:pt>
                <c:pt idx="8">
                  <c:v>dębicki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Przemyśl</c:v>
                </c:pt>
                <c:pt idx="14">
                  <c:v>przeworski</c:v>
                </c:pt>
                <c:pt idx="15">
                  <c:v>przemyski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187</c:v>
                </c:pt>
                <c:pt idx="1">
                  <c:v>234</c:v>
                </c:pt>
                <c:pt idx="2">
                  <c:v>274</c:v>
                </c:pt>
                <c:pt idx="3">
                  <c:v>353</c:v>
                </c:pt>
                <c:pt idx="4">
                  <c:v>381</c:v>
                </c:pt>
                <c:pt idx="5">
                  <c:v>415</c:v>
                </c:pt>
                <c:pt idx="6">
                  <c:v>484</c:v>
                </c:pt>
                <c:pt idx="7">
                  <c:v>491</c:v>
                </c:pt>
                <c:pt idx="8">
                  <c:v>552</c:v>
                </c:pt>
                <c:pt idx="9">
                  <c:v>554</c:v>
                </c:pt>
                <c:pt idx="10">
                  <c:v>575</c:v>
                </c:pt>
                <c:pt idx="11">
                  <c:v>607</c:v>
                </c:pt>
                <c:pt idx="12">
                  <c:v>625</c:v>
                </c:pt>
                <c:pt idx="13">
                  <c:v>695</c:v>
                </c:pt>
                <c:pt idx="14">
                  <c:v>698</c:v>
                </c:pt>
                <c:pt idx="15">
                  <c:v>701</c:v>
                </c:pt>
                <c:pt idx="16">
                  <c:v>703</c:v>
                </c:pt>
                <c:pt idx="17">
                  <c:v>704</c:v>
                </c:pt>
                <c:pt idx="18">
                  <c:v>705</c:v>
                </c:pt>
                <c:pt idx="19">
                  <c:v>742</c:v>
                </c:pt>
                <c:pt idx="20">
                  <c:v>927</c:v>
                </c:pt>
                <c:pt idx="21">
                  <c:v>1011</c:v>
                </c:pt>
                <c:pt idx="22">
                  <c:v>1113</c:v>
                </c:pt>
                <c:pt idx="23">
                  <c:v>1128</c:v>
                </c:pt>
                <c:pt idx="24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68490</xdr:colOff>
      <xdr:row>2</xdr:row>
      <xdr:rowOff>67884</xdr:rowOff>
    </xdr:from>
    <xdr:to>
      <xdr:col>20</xdr:col>
      <xdr:colOff>5104</xdr:colOff>
      <xdr:row>19</xdr:row>
      <xdr:rowOff>122464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95251</xdr:colOff>
      <xdr:row>19</xdr:row>
      <xdr:rowOff>47622</xdr:rowOff>
    </xdr:from>
    <xdr:to>
      <xdr:col>18</xdr:col>
      <xdr:colOff>408215</xdr:colOff>
      <xdr:row>41</xdr:row>
      <xdr:rowOff>71434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361949</xdr:colOff>
      <xdr:row>1</xdr:row>
      <xdr:rowOff>76200</xdr:rowOff>
    </xdr:from>
    <xdr:to>
      <xdr:col>23</xdr:col>
      <xdr:colOff>590550</xdr:colOff>
      <xdr:row>1</xdr:row>
      <xdr:rowOff>209550</xdr:rowOff>
    </xdr:to>
    <xdr:sp macro="" textlink="">
      <xdr:nvSpPr>
        <xdr:cNvPr id="5" name="Schemat blokowy: scalanie 4">
          <a:extLst>
            <a:ext uri="{FF2B5EF4-FFF2-40B4-BE49-F238E27FC236}">
              <a16:creationId xmlns:a16="http://schemas.microsoft.com/office/drawing/2014/main" id="{13DBE3A2-4823-4E59-A126-A234DEB0B024}"/>
            </a:ext>
          </a:extLst>
        </xdr:cNvPr>
        <xdr:cNvSpPr/>
      </xdr:nvSpPr>
      <xdr:spPr>
        <a:xfrm>
          <a:off x="2588418" y="254794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361949</xdr:colOff>
      <xdr:row>1</xdr:row>
      <xdr:rowOff>76200</xdr:rowOff>
    </xdr:from>
    <xdr:to>
      <xdr:col>28</xdr:col>
      <xdr:colOff>590550</xdr:colOff>
      <xdr:row>1</xdr:row>
      <xdr:rowOff>209550</xdr:rowOff>
    </xdr:to>
    <xdr:sp macro="" textlink="">
      <xdr:nvSpPr>
        <xdr:cNvPr id="7" name="Schemat blokowy: scalanie 6">
          <a:extLst>
            <a:ext uri="{FF2B5EF4-FFF2-40B4-BE49-F238E27FC236}">
              <a16:creationId xmlns:a16="http://schemas.microsoft.com/office/drawing/2014/main" id="{936A6CA6-42E8-4F8B-B5DD-51E4CCDCE993}"/>
            </a:ext>
          </a:extLst>
        </xdr:cNvPr>
        <xdr:cNvSpPr/>
      </xdr:nvSpPr>
      <xdr:spPr>
        <a:xfrm>
          <a:off x="17112342" y="253093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47626</xdr:colOff>
      <xdr:row>1</xdr:row>
      <xdr:rowOff>19051</xdr:rowOff>
    </xdr:from>
    <xdr:to>
      <xdr:col>22</xdr:col>
      <xdr:colOff>371476</xdr:colOff>
      <xdr:row>15</xdr:row>
      <xdr:rowOff>85725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85723</xdr:colOff>
      <xdr:row>15</xdr:row>
      <xdr:rowOff>57151</xdr:rowOff>
    </xdr:from>
    <xdr:to>
      <xdr:col>22</xdr:col>
      <xdr:colOff>466724</xdr:colOff>
      <xdr:row>28</xdr:row>
      <xdr:rowOff>123826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142874</xdr:colOff>
      <xdr:row>28</xdr:row>
      <xdr:rowOff>95250</xdr:rowOff>
    </xdr:from>
    <xdr:to>
      <xdr:col>22</xdr:col>
      <xdr:colOff>380999</xdr:colOff>
      <xdr:row>42</xdr:row>
      <xdr:rowOff>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247383</xdr:colOff>
      <xdr:row>2</xdr:row>
      <xdr:rowOff>84402</xdr:rowOff>
    </xdr:from>
    <xdr:to>
      <xdr:col>18</xdr:col>
      <xdr:colOff>559593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6.42578125" style="3" customWidth="1"/>
    <col min="4" max="4" width="15.28515625" style="3" customWidth="1"/>
    <col min="5" max="5" width="17.42578125" style="3" customWidth="1"/>
    <col min="6" max="6" width="16" style="3" customWidth="1"/>
    <col min="7" max="7" width="17.42578125" style="3" customWidth="1"/>
    <col min="8" max="8" width="6.28515625" style="3" customWidth="1"/>
    <col min="9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55" t="s">
        <v>27</v>
      </c>
      <c r="C2" s="56" t="s">
        <v>127</v>
      </c>
      <c r="D2" s="57" t="s">
        <v>128</v>
      </c>
      <c r="E2" s="56" t="s">
        <v>76</v>
      </c>
      <c r="F2" s="57" t="s">
        <v>126</v>
      </c>
      <c r="G2" s="56" t="s">
        <v>26</v>
      </c>
    </row>
    <row r="3" spans="2:7" x14ac:dyDescent="0.2">
      <c r="B3" s="5" t="s">
        <v>0</v>
      </c>
      <c r="C3" s="6">
        <v>1035</v>
      </c>
      <c r="D3" s="61">
        <v>987</v>
      </c>
      <c r="E3" s="6">
        <f>SUM(C3)-D3</f>
        <v>48</v>
      </c>
      <c r="F3" s="61">
        <v>1070</v>
      </c>
      <c r="G3" s="6">
        <f>SUM(C3)-F3</f>
        <v>-35</v>
      </c>
    </row>
    <row r="4" spans="2:7" x14ac:dyDescent="0.2">
      <c r="B4" s="5" t="s">
        <v>1</v>
      </c>
      <c r="C4" s="6">
        <v>3736</v>
      </c>
      <c r="D4" s="61">
        <v>3645</v>
      </c>
      <c r="E4" s="6">
        <f t="shared" ref="E4:E27" si="0">SUM(C4)-D4</f>
        <v>91</v>
      </c>
      <c r="F4" s="61">
        <v>3972</v>
      </c>
      <c r="G4" s="6">
        <f t="shared" ref="G4:G27" si="1">SUM(C4)-F4</f>
        <v>-236</v>
      </c>
    </row>
    <row r="5" spans="2:7" x14ac:dyDescent="0.2">
      <c r="B5" s="5" t="s">
        <v>2</v>
      </c>
      <c r="C5" s="6">
        <v>2400</v>
      </c>
      <c r="D5" s="61">
        <v>2368</v>
      </c>
      <c r="E5" s="6">
        <f t="shared" si="0"/>
        <v>32</v>
      </c>
      <c r="F5" s="61">
        <v>2411</v>
      </c>
      <c r="G5" s="6">
        <f t="shared" si="1"/>
        <v>-11</v>
      </c>
    </row>
    <row r="6" spans="2:7" x14ac:dyDescent="0.2">
      <c r="B6" s="5" t="s">
        <v>3</v>
      </c>
      <c r="C6" s="6">
        <v>4167</v>
      </c>
      <c r="D6" s="61">
        <v>4157</v>
      </c>
      <c r="E6" s="6">
        <f t="shared" si="0"/>
        <v>10</v>
      </c>
      <c r="F6" s="61">
        <v>4641</v>
      </c>
      <c r="G6" s="6">
        <f t="shared" si="1"/>
        <v>-474</v>
      </c>
    </row>
    <row r="7" spans="2:7" x14ac:dyDescent="0.2">
      <c r="B7" s="5" t="s">
        <v>4</v>
      </c>
      <c r="C7" s="6">
        <v>4968</v>
      </c>
      <c r="D7" s="61">
        <v>4830</v>
      </c>
      <c r="E7" s="6">
        <f t="shared" si="0"/>
        <v>138</v>
      </c>
      <c r="F7" s="61">
        <v>4859</v>
      </c>
      <c r="G7" s="6">
        <f t="shared" si="1"/>
        <v>109</v>
      </c>
    </row>
    <row r="8" spans="2:7" x14ac:dyDescent="0.2">
      <c r="B8" s="5" t="s">
        <v>5</v>
      </c>
      <c r="C8" s="6">
        <v>1478</v>
      </c>
      <c r="D8" s="61">
        <v>1464</v>
      </c>
      <c r="E8" s="6">
        <f t="shared" si="0"/>
        <v>14</v>
      </c>
      <c r="F8" s="61">
        <v>1563</v>
      </c>
      <c r="G8" s="6">
        <f t="shared" si="1"/>
        <v>-85</v>
      </c>
    </row>
    <row r="9" spans="2:7" x14ac:dyDescent="0.2">
      <c r="B9" s="9" t="s">
        <v>6</v>
      </c>
      <c r="C9" s="6">
        <v>2136</v>
      </c>
      <c r="D9" s="61">
        <v>2081</v>
      </c>
      <c r="E9" s="6">
        <f t="shared" si="0"/>
        <v>55</v>
      </c>
      <c r="F9" s="61">
        <v>1933</v>
      </c>
      <c r="G9" s="6">
        <f t="shared" si="1"/>
        <v>203</v>
      </c>
    </row>
    <row r="10" spans="2:7" x14ac:dyDescent="0.2">
      <c r="B10" s="5" t="s">
        <v>7</v>
      </c>
      <c r="C10" s="6">
        <v>1667</v>
      </c>
      <c r="D10" s="61">
        <v>1561</v>
      </c>
      <c r="E10" s="6">
        <f t="shared" si="0"/>
        <v>106</v>
      </c>
      <c r="F10" s="61">
        <v>1691</v>
      </c>
      <c r="G10" s="6">
        <f t="shared" si="1"/>
        <v>-24</v>
      </c>
    </row>
    <row r="11" spans="2:7" x14ac:dyDescent="0.2">
      <c r="B11" s="5" t="s">
        <v>8</v>
      </c>
      <c r="C11" s="6">
        <v>2975</v>
      </c>
      <c r="D11" s="61">
        <v>2921</v>
      </c>
      <c r="E11" s="6">
        <f t="shared" si="0"/>
        <v>54</v>
      </c>
      <c r="F11" s="61">
        <v>3124</v>
      </c>
      <c r="G11" s="6">
        <f t="shared" si="1"/>
        <v>-149</v>
      </c>
    </row>
    <row r="12" spans="2:7" x14ac:dyDescent="0.2">
      <c r="B12" s="5" t="s">
        <v>9</v>
      </c>
      <c r="C12" s="6">
        <v>1760</v>
      </c>
      <c r="D12" s="61">
        <v>1663</v>
      </c>
      <c r="E12" s="6">
        <f t="shared" si="0"/>
        <v>97</v>
      </c>
      <c r="F12" s="61">
        <v>1797</v>
      </c>
      <c r="G12" s="6">
        <f t="shared" si="1"/>
        <v>-37</v>
      </c>
    </row>
    <row r="13" spans="2:7" x14ac:dyDescent="0.2">
      <c r="B13" s="5" t="s">
        <v>10</v>
      </c>
      <c r="C13" s="6">
        <v>2413</v>
      </c>
      <c r="D13" s="61">
        <v>2364</v>
      </c>
      <c r="E13" s="6">
        <f t="shared" si="0"/>
        <v>49</v>
      </c>
      <c r="F13" s="61">
        <v>2583</v>
      </c>
      <c r="G13" s="6">
        <f t="shared" si="1"/>
        <v>-170</v>
      </c>
    </row>
    <row r="14" spans="2:7" x14ac:dyDescent="0.2">
      <c r="B14" s="5" t="s">
        <v>11</v>
      </c>
      <c r="C14" s="6">
        <v>2942</v>
      </c>
      <c r="D14" s="61">
        <v>2921</v>
      </c>
      <c r="E14" s="6">
        <f t="shared" si="0"/>
        <v>21</v>
      </c>
      <c r="F14" s="61">
        <v>2542</v>
      </c>
      <c r="G14" s="6">
        <f t="shared" si="1"/>
        <v>400</v>
      </c>
    </row>
    <row r="15" spans="2:7" x14ac:dyDescent="0.2">
      <c r="B15" s="5" t="s">
        <v>12</v>
      </c>
      <c r="C15" s="6">
        <v>2965</v>
      </c>
      <c r="D15" s="61">
        <v>2943</v>
      </c>
      <c r="E15" s="6">
        <f t="shared" si="0"/>
        <v>22</v>
      </c>
      <c r="F15" s="61">
        <v>3043</v>
      </c>
      <c r="G15" s="6">
        <f t="shared" si="1"/>
        <v>-78</v>
      </c>
    </row>
    <row r="16" spans="2:7" x14ac:dyDescent="0.2">
      <c r="B16" s="5" t="s">
        <v>13</v>
      </c>
      <c r="C16" s="6">
        <v>2839</v>
      </c>
      <c r="D16" s="61">
        <v>2823</v>
      </c>
      <c r="E16" s="6">
        <f t="shared" si="0"/>
        <v>16</v>
      </c>
      <c r="F16" s="61">
        <v>2944</v>
      </c>
      <c r="G16" s="6">
        <f t="shared" si="1"/>
        <v>-105</v>
      </c>
    </row>
    <row r="17" spans="2:7" x14ac:dyDescent="0.2">
      <c r="B17" s="5" t="s">
        <v>14</v>
      </c>
      <c r="C17" s="6">
        <v>3254</v>
      </c>
      <c r="D17" s="61">
        <v>3264</v>
      </c>
      <c r="E17" s="6">
        <f t="shared" si="0"/>
        <v>-10</v>
      </c>
      <c r="F17" s="61">
        <v>3482</v>
      </c>
      <c r="G17" s="6">
        <f t="shared" si="1"/>
        <v>-228</v>
      </c>
    </row>
    <row r="18" spans="2:7" x14ac:dyDescent="0.2">
      <c r="B18" s="5" t="s">
        <v>15</v>
      </c>
      <c r="C18" s="6">
        <v>2495</v>
      </c>
      <c r="D18" s="61">
        <v>2537</v>
      </c>
      <c r="E18" s="6">
        <f t="shared" si="0"/>
        <v>-42</v>
      </c>
      <c r="F18" s="61">
        <v>2764</v>
      </c>
      <c r="G18" s="6">
        <f t="shared" si="1"/>
        <v>-269</v>
      </c>
    </row>
    <row r="19" spans="2:7" x14ac:dyDescent="0.2">
      <c r="B19" s="5" t="s">
        <v>16</v>
      </c>
      <c r="C19" s="6">
        <v>4647</v>
      </c>
      <c r="D19" s="61">
        <v>4533</v>
      </c>
      <c r="E19" s="6">
        <f t="shared" si="0"/>
        <v>114</v>
      </c>
      <c r="F19" s="61">
        <v>4933</v>
      </c>
      <c r="G19" s="6">
        <f t="shared" si="1"/>
        <v>-286</v>
      </c>
    </row>
    <row r="20" spans="2:7" x14ac:dyDescent="0.2">
      <c r="B20" s="5" t="s">
        <v>17</v>
      </c>
      <c r="C20" s="6">
        <v>2700</v>
      </c>
      <c r="D20" s="61">
        <v>2680</v>
      </c>
      <c r="E20" s="6">
        <f t="shared" si="0"/>
        <v>20</v>
      </c>
      <c r="F20" s="61">
        <v>2632</v>
      </c>
      <c r="G20" s="6">
        <f t="shared" si="1"/>
        <v>68</v>
      </c>
    </row>
    <row r="21" spans="2:7" x14ac:dyDescent="0.2">
      <c r="B21" s="5" t="s">
        <v>18</v>
      </c>
      <c r="C21" s="6">
        <v>1918</v>
      </c>
      <c r="D21" s="61">
        <v>1898</v>
      </c>
      <c r="E21" s="6">
        <f t="shared" si="0"/>
        <v>20</v>
      </c>
      <c r="F21" s="61">
        <v>1828</v>
      </c>
      <c r="G21" s="6">
        <f t="shared" si="1"/>
        <v>90</v>
      </c>
    </row>
    <row r="22" spans="2:7" x14ac:dyDescent="0.2">
      <c r="B22" s="5" t="s">
        <v>19</v>
      </c>
      <c r="C22" s="6">
        <v>2999</v>
      </c>
      <c r="D22" s="61">
        <v>2938</v>
      </c>
      <c r="E22" s="6">
        <f t="shared" si="0"/>
        <v>61</v>
      </c>
      <c r="F22" s="61">
        <v>3198</v>
      </c>
      <c r="G22" s="6">
        <f t="shared" si="1"/>
        <v>-199</v>
      </c>
    </row>
    <row r="23" spans="2:7" x14ac:dyDescent="0.2">
      <c r="B23" s="5" t="s">
        <v>20</v>
      </c>
      <c r="C23" s="6">
        <v>1255</v>
      </c>
      <c r="D23" s="61">
        <v>1251</v>
      </c>
      <c r="E23" s="6">
        <f t="shared" si="0"/>
        <v>4</v>
      </c>
      <c r="F23" s="61">
        <v>1271</v>
      </c>
      <c r="G23" s="6">
        <f t="shared" si="1"/>
        <v>-16</v>
      </c>
    </row>
    <row r="24" spans="2:7" x14ac:dyDescent="0.2">
      <c r="B24" s="5" t="s">
        <v>21</v>
      </c>
      <c r="C24" s="6">
        <v>774</v>
      </c>
      <c r="D24" s="61">
        <v>765</v>
      </c>
      <c r="E24" s="6">
        <f t="shared" si="0"/>
        <v>9</v>
      </c>
      <c r="F24" s="61">
        <v>699</v>
      </c>
      <c r="G24" s="6">
        <f t="shared" si="1"/>
        <v>75</v>
      </c>
    </row>
    <row r="25" spans="2:7" x14ac:dyDescent="0.2">
      <c r="B25" s="5" t="s">
        <v>22</v>
      </c>
      <c r="C25" s="6">
        <v>2307</v>
      </c>
      <c r="D25" s="61">
        <v>2298</v>
      </c>
      <c r="E25" s="6">
        <f t="shared" si="0"/>
        <v>9</v>
      </c>
      <c r="F25" s="61">
        <v>2436</v>
      </c>
      <c r="G25" s="6">
        <f t="shared" si="1"/>
        <v>-129</v>
      </c>
    </row>
    <row r="26" spans="2:7" x14ac:dyDescent="0.2">
      <c r="B26" s="5" t="s">
        <v>23</v>
      </c>
      <c r="C26" s="6">
        <v>5082</v>
      </c>
      <c r="D26" s="61">
        <v>5011</v>
      </c>
      <c r="E26" s="6">
        <f t="shared" si="0"/>
        <v>71</v>
      </c>
      <c r="F26" s="61">
        <v>5553</v>
      </c>
      <c r="G26" s="6">
        <f t="shared" si="1"/>
        <v>-471</v>
      </c>
    </row>
    <row r="27" spans="2:7" x14ac:dyDescent="0.2">
      <c r="B27" s="5" t="s">
        <v>24</v>
      </c>
      <c r="C27" s="6">
        <v>1046</v>
      </c>
      <c r="D27" s="61">
        <v>1065</v>
      </c>
      <c r="E27" s="6">
        <f t="shared" si="0"/>
        <v>-19</v>
      </c>
      <c r="F27" s="61">
        <v>1062</v>
      </c>
      <c r="G27" s="6">
        <f t="shared" si="1"/>
        <v>-16</v>
      </c>
    </row>
    <row r="28" spans="2:7" ht="15" x14ac:dyDescent="0.25">
      <c r="B28" s="58" t="s">
        <v>25</v>
      </c>
      <c r="C28" s="59">
        <f>SUM(C3:C27)</f>
        <v>65958</v>
      </c>
      <c r="D28" s="60">
        <f>SUM(D3:D27)</f>
        <v>64968</v>
      </c>
      <c r="E28" s="59">
        <f>SUM(C28)-D28</f>
        <v>990</v>
      </c>
      <c r="F28" s="60">
        <f>SUM(F3:F27)</f>
        <v>68031</v>
      </c>
      <c r="G28" s="59">
        <f>SUM(C28)-F28</f>
        <v>-2073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30 XI '23 r.</v>
      </c>
      <c r="E3" s="55" t="str">
        <f>T('2kob.'!D2)</f>
        <v>liczba bezrobotnych kobiet stan na 31 X '23 r.</v>
      </c>
      <c r="F3" s="55" t="str">
        <f>T('2kob.'!E2)</f>
        <v>wzrost/spadek do poprzedniego  miesiąca</v>
      </c>
      <c r="G3" s="55" t="str">
        <f>T('2kob.'!F2)</f>
        <v>liczba bezrobotnych kobiet stan na 30 XI '22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650</v>
      </c>
      <c r="E4" s="61">
        <f>INDEX('5bezr. na wsi'!B3:G28,MATCH(1,B4:B25,0),3)</f>
        <v>623</v>
      </c>
      <c r="F4" s="6">
        <f>INDEX('5bezr. na wsi'!B3:G28,MATCH(1,B4:B25,0),4)</f>
        <v>27</v>
      </c>
      <c r="G4" s="61">
        <f>INDEX('5bezr. na wsi'!B3:G28,MATCH(1,B4:B25,0),5)</f>
        <v>673</v>
      </c>
      <c r="H4" s="6">
        <f>INDEX('5bezr. na wsi'!B3:G28,MATCH(1,B4:B25,0),6)</f>
        <v>-23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752</v>
      </c>
      <c r="E5" s="61">
        <f>INDEX('5bezr. na wsi'!B3:G28,MATCH(2,B4:B25,0),3)</f>
        <v>746</v>
      </c>
      <c r="F5" s="6">
        <f>INDEX('5bezr. na wsi'!B3:G28,MATCH(2,B4:B25,0),4)</f>
        <v>6</v>
      </c>
      <c r="G5" s="61">
        <f>INDEX('5bezr. na wsi'!B3:G28,MATCH(2,B4:B25,0),5)</f>
        <v>732</v>
      </c>
      <c r="H5" s="6">
        <f>INDEX('5bezr. na wsi'!B3:G28,MATCH(2,B4:B25,0),6)</f>
        <v>20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7</v>
      </c>
      <c r="C6" s="5" t="str">
        <f>INDEX('5bezr. na wsi'!B3:G28,MATCH(3,B4:B25,0),1)</f>
        <v xml:space="preserve">tarnobrzeski </v>
      </c>
      <c r="D6" s="6">
        <f>INDEX('5bezr. na wsi'!B3:G28,MATCH(3,B4:B25,0),2)</f>
        <v>1031</v>
      </c>
      <c r="E6" s="61">
        <f>INDEX('5bezr. na wsi'!B3:G28,MATCH(3,B4:B25,0),3)</f>
        <v>1024</v>
      </c>
      <c r="F6" s="6">
        <f>INDEX('5bezr. na wsi'!B3:G28,MATCH(3,B4:B25,0),4)</f>
        <v>7</v>
      </c>
      <c r="G6" s="61">
        <f>INDEX('5bezr. na wsi'!B3:G28,MATCH(3,B4:B25,0),5)</f>
        <v>1028</v>
      </c>
      <c r="H6" s="6">
        <f>INDEX('5bezr. na wsi'!B3:G28,MATCH(3,B4:B25,0),6)</f>
        <v>3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1163</v>
      </c>
      <c r="E7" s="61">
        <f>INDEX('5bezr. na wsi'!B3:G28,MATCH(4,B4:B25,0),3)</f>
        <v>1105</v>
      </c>
      <c r="F7" s="6">
        <f>INDEX('5bezr. na wsi'!B3:G28,MATCH(4,B4:B25,0),4)</f>
        <v>58</v>
      </c>
      <c r="G7" s="61">
        <f>INDEX('5bezr. na wsi'!B3:G28,MATCH(4,B4:B25,0),5)</f>
        <v>1196</v>
      </c>
      <c r="H7" s="6">
        <f>INDEX('5bezr. na wsi'!B3:G28,MATCH(4,B4:B25,0),6)</f>
        <v>-33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20</v>
      </c>
      <c r="C8" s="5" t="str">
        <f>INDEX('5bezr. na wsi'!B3:G28,MATCH(5,B4:B25,0),1)</f>
        <v>kolbuszowski</v>
      </c>
      <c r="D8" s="6">
        <f>INDEX('5bezr. na wsi'!B3:G28,MATCH(5,B4:B25,0),2)</f>
        <v>1301</v>
      </c>
      <c r="E8" s="61">
        <f>INDEX('5bezr. na wsi'!B3:G28,MATCH(5,B4:B25,0),3)</f>
        <v>1288</v>
      </c>
      <c r="F8" s="6">
        <f>INDEX('5bezr. na wsi'!B3:G28,MATCH(5,B4:B25,0),4)</f>
        <v>13</v>
      </c>
      <c r="G8" s="61">
        <f>INDEX('5bezr. na wsi'!B3:G28,MATCH(5,B4:B25,0),5)</f>
        <v>1361</v>
      </c>
      <c r="H8" s="6">
        <f>INDEX('5bezr. na wsi'!B3:G28,MATCH(5,B4:B25,0),6)</f>
        <v>-60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5</v>
      </c>
      <c r="C9" s="5" t="str">
        <f>INDEX('5bezr. na wsi'!B3:G28,MATCH(6,B4:B25,0),1)</f>
        <v>leski</v>
      </c>
      <c r="D9" s="6">
        <f>INDEX('5bezr. na wsi'!B3:G28,MATCH(6,B4:B25,0),2)</f>
        <v>1390</v>
      </c>
      <c r="E9" s="61">
        <f>INDEX('5bezr. na wsi'!B3:G28,MATCH(6,B4:B25,0),3)</f>
        <v>1291</v>
      </c>
      <c r="F9" s="6">
        <f>INDEX('5bezr. na wsi'!B3:G28,MATCH(6,B4:B25,0),4)</f>
        <v>99</v>
      </c>
      <c r="G9" s="61">
        <f>INDEX('5bezr. na wsi'!B3:G28,MATCH(6,B4:B25,0),5)</f>
        <v>1376</v>
      </c>
      <c r="H9" s="6">
        <f>INDEX('5bezr. na wsi'!B3:G28,MATCH(6,B4:B25,0),6)</f>
        <v>14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12</v>
      </c>
      <c r="C10" s="9" t="str">
        <f>INDEX('5bezr. na wsi'!B3:G28,MATCH(7,B4:B25,0),1)</f>
        <v>dębicki</v>
      </c>
      <c r="D10" s="6">
        <f>INDEX('5bezr. na wsi'!B3:G28,MATCH(7,B4:B25,0),2)</f>
        <v>1416</v>
      </c>
      <c r="E10" s="61">
        <f>INDEX('5bezr. na wsi'!B3:G28,MATCH(7,B4:B25,0),3)</f>
        <v>1386</v>
      </c>
      <c r="F10" s="6">
        <f>INDEX('5bezr. na wsi'!B3:G28,MATCH(7,B4:B25,0),4)</f>
        <v>30</v>
      </c>
      <c r="G10" s="61">
        <f>INDEX('5bezr. na wsi'!B3:G28,MATCH(7,B4:B25,0),5)</f>
        <v>1464</v>
      </c>
      <c r="H10" s="6">
        <f>INDEX('5bezr. na wsi'!B3:G28,MATCH(7,B4:B25,0),6)</f>
        <v>-48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6</v>
      </c>
      <c r="C11" s="5" t="str">
        <f>INDEX('5bezr. na wsi'!B3:G28,MATCH(8,B4:B25,0),1)</f>
        <v>mielecki</v>
      </c>
      <c r="D11" s="6">
        <f>INDEX('5bezr. na wsi'!B3:G28,MATCH(8,B4:B25,0),2)</f>
        <v>1493</v>
      </c>
      <c r="E11" s="61">
        <f>INDEX('5bezr. na wsi'!B3:G28,MATCH(8,B4:B25,0),3)</f>
        <v>1466</v>
      </c>
      <c r="F11" s="6">
        <f>INDEX('5bezr. na wsi'!B3:G28,MATCH(8,B4:B25,0),4)</f>
        <v>27</v>
      </c>
      <c r="G11" s="61">
        <f>INDEX('5bezr. na wsi'!B3:G28,MATCH(8,B4:B25,0),5)</f>
        <v>1280</v>
      </c>
      <c r="H11" s="6">
        <f>INDEX('5bezr. na wsi'!B3:G28,MATCH(8,B4:B25,0),6)</f>
        <v>213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1564</v>
      </c>
      <c r="E12" s="61">
        <f>INDEX('5bezr. na wsi'!B3:G28,MATCH(9,B4:B25,0),3)</f>
        <v>1556</v>
      </c>
      <c r="F12" s="6">
        <f>INDEX('5bezr. na wsi'!B3:G28,MATCH(9,B4:B25,0),4)</f>
        <v>8</v>
      </c>
      <c r="G12" s="61">
        <f>INDEX('5bezr. na wsi'!B3:G28,MATCH(9,B4:B25,0),5)</f>
        <v>1515</v>
      </c>
      <c r="H12" s="6">
        <f>INDEX('5bezr. na wsi'!B3:G28,MATCH(9,B4:B25,0),6)</f>
        <v>49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1607</v>
      </c>
      <c r="E13" s="61">
        <f>INDEX('5bezr. na wsi'!B3:G28,MATCH(10,B4:B25,0),3)</f>
        <v>1644</v>
      </c>
      <c r="F13" s="6">
        <f>INDEX('5bezr. na wsi'!B3:G28,MATCH(10,B4:B25,0),4)</f>
        <v>-37</v>
      </c>
      <c r="G13" s="61">
        <f>INDEX('5bezr. na wsi'!B3:G28,MATCH(10,B4:B25,0),5)</f>
        <v>1772</v>
      </c>
      <c r="H13" s="6">
        <f>INDEX('5bezr. na wsi'!B3:G28,MATCH(10,B4:B25,0),6)</f>
        <v>-165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11</v>
      </c>
      <c r="C14" s="5" t="str">
        <f>INDEX('5bezr. na wsi'!B3:G28,MATCH(11,B4:B25,0),1)</f>
        <v>łańcucki</v>
      </c>
      <c r="D14" s="6">
        <f>INDEX('5bezr. na wsi'!B3:G28,MATCH(11,B4:B25,0),2)</f>
        <v>1904</v>
      </c>
      <c r="E14" s="61">
        <f>INDEX('5bezr. na wsi'!B3:G28,MATCH(11,B4:B25,0),3)</f>
        <v>1879</v>
      </c>
      <c r="F14" s="6">
        <f>INDEX('5bezr. na wsi'!B3:G28,MATCH(11,B4:B25,0),4)</f>
        <v>25</v>
      </c>
      <c r="G14" s="61">
        <f>INDEX('5bezr. na wsi'!B3:G28,MATCH(11,B4:B25,0),5)</f>
        <v>2023</v>
      </c>
      <c r="H14" s="6">
        <f>INDEX('5bezr. na wsi'!B3:G28,MATCH(11,B4:B25,0),6)</f>
        <v>-119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8</v>
      </c>
      <c r="C15" s="5" t="str">
        <f>INDEX('5bezr. na wsi'!B3:G28,MATCH(12,B4:B25,0),1)</f>
        <v>krośnieński</v>
      </c>
      <c r="D15" s="6">
        <f>INDEX('5bezr. na wsi'!B3:G28,MATCH(12,B4:B25,0),2)</f>
        <v>1919</v>
      </c>
      <c r="E15" s="61">
        <f>INDEX('5bezr. na wsi'!B3:G28,MATCH(12,B4:B25,0),3)</f>
        <v>1872</v>
      </c>
      <c r="F15" s="6">
        <f>INDEX('5bezr. na wsi'!B3:G28,MATCH(12,B4:B25,0),4)</f>
        <v>47</v>
      </c>
      <c r="G15" s="61">
        <f>INDEX('5bezr. na wsi'!B3:G28,MATCH(12,B4:B25,0),5)</f>
        <v>1736</v>
      </c>
      <c r="H15" s="6">
        <f>INDEX('5bezr. na wsi'!B3:G28,MATCH(12,B4:B25,0),6)</f>
        <v>183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13</v>
      </c>
      <c r="C16" s="5" t="str">
        <f>INDEX('5bezr. na wsi'!B3:G28,MATCH(13,B4:B25,0),1)</f>
        <v>niżański</v>
      </c>
      <c r="D16" s="6">
        <f>INDEX('5bezr. na wsi'!B3:G28,MATCH(13,B4:B25,0),2)</f>
        <v>1950</v>
      </c>
      <c r="E16" s="61">
        <f>INDEX('5bezr. na wsi'!B3:G28,MATCH(13,B4:B25,0),3)</f>
        <v>1925</v>
      </c>
      <c r="F16" s="6">
        <f>INDEX('5bezr. na wsi'!B3:G28,MATCH(13,B4:B25,0),4)</f>
        <v>25</v>
      </c>
      <c r="G16" s="61">
        <f>INDEX('5bezr. na wsi'!B3:G28,MATCH(13,B4:B25,0),5)</f>
        <v>1952</v>
      </c>
      <c r="H16" s="6">
        <f>INDEX('5bezr. na wsi'!B3:G28,MATCH(13,B4:B25,0),6)</f>
        <v>-2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2263</v>
      </c>
      <c r="E17" s="61">
        <f>INDEX('5bezr. na wsi'!B3:G28,MATCH(14,B4:B25,0),3)</f>
        <v>2216</v>
      </c>
      <c r="F17" s="6">
        <f>INDEX('5bezr. na wsi'!B3:G28,MATCH(14,B4:B25,0),4)</f>
        <v>47</v>
      </c>
      <c r="G17" s="61">
        <f>INDEX('5bezr. na wsi'!B3:G28,MATCH(14,B4:B25,0),5)</f>
        <v>2355</v>
      </c>
      <c r="H17" s="6">
        <f>INDEX('5bezr. na wsi'!B3:G28,MATCH(14,B4:B25,0),6)</f>
        <v>-92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2495</v>
      </c>
      <c r="E18" s="61">
        <f>INDEX('5bezr. na wsi'!B3:G28,MATCH(15,B4:B25,0),3)</f>
        <v>2491</v>
      </c>
      <c r="F18" s="6">
        <f>INDEX('5bezr. na wsi'!B3:G28,MATCH(15,B4:B25,0),4)</f>
        <v>4</v>
      </c>
      <c r="G18" s="61">
        <f>INDEX('5bezr. na wsi'!B3:G28,MATCH(15,B4:B25,0),5)</f>
        <v>2666</v>
      </c>
      <c r="H18" s="6">
        <f>INDEX('5bezr. na wsi'!B3:G28,MATCH(15,B4:B25,0),6)</f>
        <v>-171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2563</v>
      </c>
      <c r="E19" s="61">
        <f>INDEX('5bezr. na wsi'!B3:G28,MATCH(16,B4:B25,0),3)</f>
        <v>2554</v>
      </c>
      <c r="F19" s="6">
        <f>INDEX('5bezr. na wsi'!B3:G28,MATCH(16,B4:B25,0),4)</f>
        <v>9</v>
      </c>
      <c r="G19" s="61">
        <f>INDEX('5bezr. na wsi'!B3:G28,MATCH(16,B4:B25,0),5)</f>
        <v>2898</v>
      </c>
      <c r="H19" s="6">
        <f>INDEX('5bezr. na wsi'!B3:G28,MATCH(16,B4:B25,0),6)</f>
        <v>-335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21</v>
      </c>
      <c r="C20" s="5" t="str">
        <f>INDEX('5bezr. na wsi'!B3:G28,MATCH(17,B4:B25,0),1)</f>
        <v>strzyżowski</v>
      </c>
      <c r="D20" s="6">
        <f>INDEX('5bezr. na wsi'!B3:G28,MATCH(17,B4:B25,0),2)</f>
        <v>2697</v>
      </c>
      <c r="E20" s="61">
        <f>INDEX('5bezr. na wsi'!B3:G28,MATCH(17,B4:B25,0),3)</f>
        <v>2629</v>
      </c>
      <c r="F20" s="6">
        <f>INDEX('5bezr. na wsi'!B3:G28,MATCH(17,B4:B25,0),4)</f>
        <v>68</v>
      </c>
      <c r="G20" s="61">
        <f>INDEX('5bezr. na wsi'!B3:G28,MATCH(17,B4:B25,0),5)</f>
        <v>2845</v>
      </c>
      <c r="H20" s="6">
        <f>INDEX('5bezr. na wsi'!B3:G28,MATCH(17,B4:B25,0),6)</f>
        <v>-148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2821</v>
      </c>
      <c r="E21" s="61">
        <f>INDEX('5bezr. na wsi'!B3:G28,MATCH(18,B4:B25,0),3)</f>
        <v>2802</v>
      </c>
      <c r="F21" s="6">
        <f>INDEX('5bezr. na wsi'!B3:G28,MATCH(18,B4:B25,0),4)</f>
        <v>19</v>
      </c>
      <c r="G21" s="61">
        <f>INDEX('5bezr. na wsi'!B3:G28,MATCH(18,B4:B25,0),5)</f>
        <v>2921</v>
      </c>
      <c r="H21" s="6">
        <f>INDEX('5bezr. na wsi'!B3:G28,MATCH(18,B4:B25,0),6)</f>
        <v>-100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3445</v>
      </c>
      <c r="E22" s="61">
        <f>INDEX('5bezr. na wsi'!B3:G28,MATCH(19,B4:B25,0),3)</f>
        <v>3352</v>
      </c>
      <c r="F22" s="6">
        <f>INDEX('5bezr. na wsi'!B3:G28,MATCH(19,B4:B25,0),4)</f>
        <v>93</v>
      </c>
      <c r="G22" s="61">
        <f>INDEX('5bezr. na wsi'!B3:G28,MATCH(19,B4:B25,0),5)</f>
        <v>3642</v>
      </c>
      <c r="H22" s="6">
        <f>INDEX('5bezr. na wsi'!B3:G28,MATCH(19,B4:B25,0),6)</f>
        <v>-197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jasielski</v>
      </c>
      <c r="D23" s="6">
        <f>INDEX('5bezr. na wsi'!B3:G28,MATCH(20,B4:B25,0),2)</f>
        <v>3533</v>
      </c>
      <c r="E23" s="61">
        <f>INDEX('5bezr. na wsi'!B3:G28,MATCH(20,B4:B25,0),3)</f>
        <v>3427</v>
      </c>
      <c r="F23" s="6">
        <f>INDEX('5bezr. na wsi'!B3:G28,MATCH(20,B4:B25,0),4)</f>
        <v>106</v>
      </c>
      <c r="G23" s="61">
        <f>INDEX('5bezr. na wsi'!B3:G28,MATCH(20,B4:B25,0),5)</f>
        <v>3432</v>
      </c>
      <c r="H23" s="6">
        <f>INDEX('5bezr. na wsi'!B3:G28,MATCH(20,B4:B25,0),6)</f>
        <v>101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rzeszowski</v>
      </c>
      <c r="D24" s="6">
        <f>INDEX('5bezr. na wsi'!B3:G28,MATCH(21,B4:B25,0),2)</f>
        <v>3681</v>
      </c>
      <c r="E24" s="61">
        <f>INDEX('5bezr. na wsi'!B3:G28,MATCH(21,B4:B25,0),3)</f>
        <v>3602</v>
      </c>
      <c r="F24" s="6">
        <f>INDEX('5bezr. na wsi'!B3:G28,MATCH(21,B4:B25,0),4)</f>
        <v>79</v>
      </c>
      <c r="G24" s="61">
        <f>INDEX('5bezr. na wsi'!B3:G28,MATCH(21,B4:B25,0),5)</f>
        <v>3904</v>
      </c>
      <c r="H24" s="6">
        <f>INDEX('5bezr. na wsi'!B3:G28,MATCH(21,B4:B25,0),6)</f>
        <v>-223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6" t="str">
        <f>INDEX('5bezr. na wsi'!B3:G28,MATCH(22,B4:B25,0),1)</f>
        <v>województwo</v>
      </c>
      <c r="D25" s="59">
        <f>INDEX('5bezr. na wsi'!B3:G28,MATCH(22,B4:B25,0),2)</f>
        <v>41638</v>
      </c>
      <c r="E25" s="63">
        <f>INDEX('5bezr. na wsi'!B3:G28,MATCH(22,B4:B25,0),3)</f>
        <v>40878</v>
      </c>
      <c r="F25" s="59">
        <f>INDEX('5bezr. na wsi'!B3:G28,MATCH(22,B4:B25,0),4)</f>
        <v>760</v>
      </c>
      <c r="G25" s="63">
        <f>INDEX('5bezr. na wsi'!B3:G28,MATCH(22,B4:B25,0),5)</f>
        <v>42771</v>
      </c>
      <c r="H25" s="59">
        <f>INDEX('5bezr. na wsi'!B3:G28,MATCH(22,B4:B25,0),6)</f>
        <v>-1133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16384" width="9.140625" style="3"/>
  </cols>
  <sheetData>
    <row r="1" spans="2:8" ht="19.5" customHeight="1" x14ac:dyDescent="0.2">
      <c r="B1" s="1" t="s">
        <v>78</v>
      </c>
      <c r="C1" s="42"/>
      <c r="D1" s="42"/>
      <c r="E1" s="42"/>
      <c r="F1" s="42"/>
      <c r="G1" s="42"/>
    </row>
    <row r="2" spans="2:8" ht="58.5" x14ac:dyDescent="0.2">
      <c r="B2" s="55" t="s">
        <v>27</v>
      </c>
      <c r="C2" s="56" t="s">
        <v>141</v>
      </c>
      <c r="D2" s="57" t="s">
        <v>140</v>
      </c>
      <c r="E2" s="56" t="s">
        <v>28</v>
      </c>
      <c r="F2" s="57" t="s">
        <v>142</v>
      </c>
      <c r="G2" s="56" t="s">
        <v>26</v>
      </c>
    </row>
    <row r="3" spans="2:8" x14ac:dyDescent="0.2">
      <c r="B3" s="5" t="s">
        <v>0</v>
      </c>
      <c r="C3" s="6">
        <v>604</v>
      </c>
      <c r="D3" s="61">
        <v>590</v>
      </c>
      <c r="E3" s="6">
        <f t="shared" ref="E3:E26" si="0">SUM(C3)-D3</f>
        <v>14</v>
      </c>
      <c r="F3" s="61">
        <v>641</v>
      </c>
      <c r="G3" s="6">
        <f t="shared" ref="G3:G27" si="1">SUM(C3)-F3</f>
        <v>-37</v>
      </c>
      <c r="H3" s="7"/>
    </row>
    <row r="4" spans="2:8" x14ac:dyDescent="0.2">
      <c r="B4" s="5" t="s">
        <v>1</v>
      </c>
      <c r="C4" s="6">
        <v>2410</v>
      </c>
      <c r="D4" s="61">
        <v>2376</v>
      </c>
      <c r="E4" s="6">
        <f t="shared" si="0"/>
        <v>34</v>
      </c>
      <c r="F4" s="61">
        <v>2592</v>
      </c>
      <c r="G4" s="6">
        <f t="shared" si="1"/>
        <v>-182</v>
      </c>
      <c r="H4" s="7"/>
    </row>
    <row r="5" spans="2:8" x14ac:dyDescent="0.2">
      <c r="B5" s="5" t="s">
        <v>2</v>
      </c>
      <c r="C5" s="6">
        <v>967</v>
      </c>
      <c r="D5" s="61">
        <v>949</v>
      </c>
      <c r="E5" s="6">
        <f t="shared" si="0"/>
        <v>18</v>
      </c>
      <c r="F5" s="61">
        <v>1078</v>
      </c>
      <c r="G5" s="6">
        <f t="shared" si="1"/>
        <v>-111</v>
      </c>
      <c r="H5" s="7"/>
    </row>
    <row r="6" spans="2:8" x14ac:dyDescent="0.2">
      <c r="B6" s="5" t="s">
        <v>3</v>
      </c>
      <c r="C6" s="6">
        <v>2412</v>
      </c>
      <c r="D6" s="61">
        <v>2478</v>
      </c>
      <c r="E6" s="6">
        <f t="shared" si="0"/>
        <v>-66</v>
      </c>
      <c r="F6" s="61">
        <v>2849</v>
      </c>
      <c r="G6" s="6">
        <f t="shared" si="1"/>
        <v>-437</v>
      </c>
      <c r="H6" s="7"/>
    </row>
    <row r="7" spans="2:8" x14ac:dyDescent="0.2">
      <c r="B7" s="5" t="s">
        <v>4</v>
      </c>
      <c r="C7" s="6">
        <v>3049</v>
      </c>
      <c r="D7" s="61">
        <v>2979</v>
      </c>
      <c r="E7" s="6">
        <f t="shared" si="0"/>
        <v>70</v>
      </c>
      <c r="F7" s="61">
        <v>3068</v>
      </c>
      <c r="G7" s="6">
        <f t="shared" si="1"/>
        <v>-19</v>
      </c>
      <c r="H7" s="7"/>
    </row>
    <row r="8" spans="2:8" x14ac:dyDescent="0.2">
      <c r="B8" s="5" t="s">
        <v>5</v>
      </c>
      <c r="C8" s="6">
        <v>739</v>
      </c>
      <c r="D8" s="61">
        <v>731</v>
      </c>
      <c r="E8" s="6">
        <f t="shared" si="0"/>
        <v>8</v>
      </c>
      <c r="F8" s="61">
        <v>803</v>
      </c>
      <c r="G8" s="6">
        <f t="shared" si="1"/>
        <v>-64</v>
      </c>
      <c r="H8" s="7"/>
    </row>
    <row r="9" spans="2:8" x14ac:dyDescent="0.2">
      <c r="B9" s="9" t="s">
        <v>6</v>
      </c>
      <c r="C9" s="6">
        <v>932</v>
      </c>
      <c r="D9" s="61">
        <v>914</v>
      </c>
      <c r="E9" s="6">
        <f t="shared" si="0"/>
        <v>18</v>
      </c>
      <c r="F9" s="61">
        <v>941</v>
      </c>
      <c r="G9" s="6">
        <f t="shared" si="1"/>
        <v>-9</v>
      </c>
      <c r="H9" s="7"/>
    </row>
    <row r="10" spans="2:8" x14ac:dyDescent="0.2">
      <c r="B10" s="5" t="s">
        <v>7</v>
      </c>
      <c r="C10" s="6">
        <v>1050</v>
      </c>
      <c r="D10" s="61">
        <v>1034</v>
      </c>
      <c r="E10" s="6">
        <f t="shared" si="0"/>
        <v>16</v>
      </c>
      <c r="F10" s="61">
        <v>1039</v>
      </c>
      <c r="G10" s="6">
        <f t="shared" si="1"/>
        <v>11</v>
      </c>
      <c r="H10" s="7"/>
    </row>
    <row r="11" spans="2:8" x14ac:dyDescent="0.2">
      <c r="B11" s="5" t="s">
        <v>8</v>
      </c>
      <c r="C11" s="6">
        <v>1746</v>
      </c>
      <c r="D11" s="61">
        <v>1722</v>
      </c>
      <c r="E11" s="6">
        <f t="shared" si="0"/>
        <v>24</v>
      </c>
      <c r="F11" s="61">
        <v>1921</v>
      </c>
      <c r="G11" s="6">
        <f t="shared" si="1"/>
        <v>-175</v>
      </c>
      <c r="H11" s="7"/>
    </row>
    <row r="12" spans="2:8" x14ac:dyDescent="0.2">
      <c r="B12" s="5" t="s">
        <v>9</v>
      </c>
      <c r="C12" s="6">
        <v>900</v>
      </c>
      <c r="D12" s="61">
        <v>883</v>
      </c>
      <c r="E12" s="6">
        <f t="shared" si="0"/>
        <v>17</v>
      </c>
      <c r="F12" s="61">
        <v>982</v>
      </c>
      <c r="G12" s="6">
        <f t="shared" si="1"/>
        <v>-82</v>
      </c>
      <c r="H12" s="7"/>
    </row>
    <row r="13" spans="2:8" x14ac:dyDescent="0.2">
      <c r="B13" s="5" t="s">
        <v>10</v>
      </c>
      <c r="C13" s="6">
        <v>1246</v>
      </c>
      <c r="D13" s="61">
        <v>1228</v>
      </c>
      <c r="E13" s="6">
        <f t="shared" si="0"/>
        <v>18</v>
      </c>
      <c r="F13" s="61">
        <v>1382</v>
      </c>
      <c r="G13" s="6">
        <f t="shared" si="1"/>
        <v>-136</v>
      </c>
      <c r="H13" s="7"/>
    </row>
    <row r="14" spans="2:8" x14ac:dyDescent="0.2">
      <c r="B14" s="5" t="s">
        <v>11</v>
      </c>
      <c r="C14" s="6">
        <v>1327</v>
      </c>
      <c r="D14" s="61">
        <v>1285</v>
      </c>
      <c r="E14" s="6">
        <f t="shared" si="0"/>
        <v>42</v>
      </c>
      <c r="F14" s="61">
        <v>1232</v>
      </c>
      <c r="G14" s="6">
        <f t="shared" si="1"/>
        <v>95</v>
      </c>
      <c r="H14" s="7"/>
    </row>
    <row r="15" spans="2:8" x14ac:dyDescent="0.2">
      <c r="B15" s="5" t="s">
        <v>12</v>
      </c>
      <c r="C15" s="6">
        <v>1657</v>
      </c>
      <c r="D15" s="61">
        <v>1651</v>
      </c>
      <c r="E15" s="6">
        <f t="shared" si="0"/>
        <v>6</v>
      </c>
      <c r="F15" s="61">
        <v>1749</v>
      </c>
      <c r="G15" s="6">
        <f t="shared" si="1"/>
        <v>-92</v>
      </c>
      <c r="H15" s="7"/>
    </row>
    <row r="16" spans="2:8" x14ac:dyDescent="0.2">
      <c r="B16" s="5" t="s">
        <v>13</v>
      </c>
      <c r="C16" s="6">
        <v>1687</v>
      </c>
      <c r="D16" s="61">
        <v>1710</v>
      </c>
      <c r="E16" s="6">
        <f t="shared" si="0"/>
        <v>-23</v>
      </c>
      <c r="F16" s="61">
        <v>1825</v>
      </c>
      <c r="G16" s="6">
        <f t="shared" si="1"/>
        <v>-138</v>
      </c>
      <c r="H16" s="7"/>
    </row>
    <row r="17" spans="2:8" x14ac:dyDescent="0.2">
      <c r="B17" s="5" t="s">
        <v>14</v>
      </c>
      <c r="C17" s="6">
        <v>1986</v>
      </c>
      <c r="D17" s="61">
        <v>1993</v>
      </c>
      <c r="E17" s="6">
        <f t="shared" si="0"/>
        <v>-7</v>
      </c>
      <c r="F17" s="61">
        <v>2173</v>
      </c>
      <c r="G17" s="6">
        <f t="shared" si="1"/>
        <v>-187</v>
      </c>
      <c r="H17" s="7"/>
    </row>
    <row r="18" spans="2:8" x14ac:dyDescent="0.2">
      <c r="B18" s="5" t="s">
        <v>15</v>
      </c>
      <c r="C18" s="6">
        <v>1320</v>
      </c>
      <c r="D18" s="61">
        <v>1336</v>
      </c>
      <c r="E18" s="6">
        <f t="shared" si="0"/>
        <v>-16</v>
      </c>
      <c r="F18" s="61">
        <v>1608</v>
      </c>
      <c r="G18" s="6">
        <f t="shared" si="1"/>
        <v>-288</v>
      </c>
      <c r="H18" s="7"/>
    </row>
    <row r="19" spans="2:8" x14ac:dyDescent="0.2">
      <c r="B19" s="5" t="s">
        <v>16</v>
      </c>
      <c r="C19" s="6">
        <v>2622</v>
      </c>
      <c r="D19" s="61">
        <v>2620</v>
      </c>
      <c r="E19" s="6">
        <f t="shared" si="0"/>
        <v>2</v>
      </c>
      <c r="F19" s="61">
        <v>3034</v>
      </c>
      <c r="G19" s="6">
        <f t="shared" si="1"/>
        <v>-412</v>
      </c>
      <c r="H19" s="7"/>
    </row>
    <row r="20" spans="2:8" x14ac:dyDescent="0.2">
      <c r="B20" s="5" t="s">
        <v>17</v>
      </c>
      <c r="C20" s="6">
        <v>1356</v>
      </c>
      <c r="D20" s="61">
        <v>1347</v>
      </c>
      <c r="E20" s="6">
        <f t="shared" si="0"/>
        <v>9</v>
      </c>
      <c r="F20" s="61">
        <v>1294</v>
      </c>
      <c r="G20" s="6">
        <f t="shared" si="1"/>
        <v>62</v>
      </c>
      <c r="H20" s="7"/>
    </row>
    <row r="21" spans="2:8" x14ac:dyDescent="0.2">
      <c r="B21" s="5" t="s">
        <v>18</v>
      </c>
      <c r="C21" s="6">
        <v>766</v>
      </c>
      <c r="D21" s="61">
        <v>745</v>
      </c>
      <c r="E21" s="6">
        <f t="shared" si="0"/>
        <v>21</v>
      </c>
      <c r="F21" s="61">
        <v>779</v>
      </c>
      <c r="G21" s="6">
        <f t="shared" si="1"/>
        <v>-13</v>
      </c>
      <c r="H21" s="7"/>
    </row>
    <row r="22" spans="2:8" x14ac:dyDescent="0.2">
      <c r="B22" s="5" t="s">
        <v>19</v>
      </c>
      <c r="C22" s="6">
        <v>1913</v>
      </c>
      <c r="D22" s="61">
        <v>1889</v>
      </c>
      <c r="E22" s="6">
        <f t="shared" si="0"/>
        <v>24</v>
      </c>
      <c r="F22" s="61">
        <v>2058</v>
      </c>
      <c r="G22" s="6">
        <f t="shared" si="1"/>
        <v>-145</v>
      </c>
      <c r="H22" s="7"/>
    </row>
    <row r="23" spans="2:8" x14ac:dyDescent="0.2">
      <c r="B23" s="5" t="s">
        <v>20</v>
      </c>
      <c r="C23" s="6">
        <v>617</v>
      </c>
      <c r="D23" s="61">
        <v>618</v>
      </c>
      <c r="E23" s="6">
        <f t="shared" si="0"/>
        <v>-1</v>
      </c>
      <c r="F23" s="61">
        <v>697</v>
      </c>
      <c r="G23" s="6">
        <f t="shared" si="1"/>
        <v>-80</v>
      </c>
      <c r="H23" s="7"/>
    </row>
    <row r="24" spans="2:8" x14ac:dyDescent="0.2">
      <c r="B24" s="5" t="s">
        <v>21</v>
      </c>
      <c r="C24" s="6">
        <v>299</v>
      </c>
      <c r="D24" s="61">
        <v>291</v>
      </c>
      <c r="E24" s="6">
        <f t="shared" si="0"/>
        <v>8</v>
      </c>
      <c r="F24" s="61">
        <v>322</v>
      </c>
      <c r="G24" s="6">
        <f t="shared" si="1"/>
        <v>-23</v>
      </c>
      <c r="H24" s="7"/>
    </row>
    <row r="25" spans="2:8" x14ac:dyDescent="0.2">
      <c r="B25" s="5" t="s">
        <v>22</v>
      </c>
      <c r="C25" s="43">
        <v>1495</v>
      </c>
      <c r="D25" s="61">
        <v>1491</v>
      </c>
      <c r="E25" s="43">
        <f t="shared" si="0"/>
        <v>4</v>
      </c>
      <c r="F25" s="61">
        <v>1596</v>
      </c>
      <c r="G25" s="6">
        <f t="shared" si="1"/>
        <v>-101</v>
      </c>
      <c r="H25" s="7"/>
    </row>
    <row r="26" spans="2:8" x14ac:dyDescent="0.2">
      <c r="B26" s="5" t="s">
        <v>23</v>
      </c>
      <c r="C26" s="43">
        <v>3101</v>
      </c>
      <c r="D26" s="61">
        <v>3081</v>
      </c>
      <c r="E26" s="43">
        <f t="shared" si="0"/>
        <v>20</v>
      </c>
      <c r="F26" s="61">
        <v>3436</v>
      </c>
      <c r="G26" s="6">
        <f t="shared" si="1"/>
        <v>-335</v>
      </c>
      <c r="H26" s="7"/>
    </row>
    <row r="27" spans="2:8" x14ac:dyDescent="0.2">
      <c r="B27" s="5" t="s">
        <v>24</v>
      </c>
      <c r="C27" s="43">
        <v>535</v>
      </c>
      <c r="D27" s="61">
        <v>534</v>
      </c>
      <c r="E27" s="43">
        <f>SUM(C27)-D27</f>
        <v>1</v>
      </c>
      <c r="F27" s="61">
        <v>622</v>
      </c>
      <c r="G27" s="6">
        <f t="shared" si="1"/>
        <v>-87</v>
      </c>
      <c r="H27" s="7"/>
    </row>
    <row r="28" spans="2:8" ht="15" x14ac:dyDescent="0.25">
      <c r="B28" s="58" t="s">
        <v>25</v>
      </c>
      <c r="C28" s="59">
        <f>SUM(C3:C27)</f>
        <v>36736</v>
      </c>
      <c r="D28" s="60">
        <f>SUM(D3:D27)</f>
        <v>36475</v>
      </c>
      <c r="E28" s="59">
        <f>SUM(E3:E27)</f>
        <v>261</v>
      </c>
      <c r="F28" s="60">
        <f>SUM(F3:F27)</f>
        <v>39721</v>
      </c>
      <c r="G28" s="59">
        <f>SUM(G3:G27)</f>
        <v>-2985</v>
      </c>
      <c r="H28" s="7"/>
    </row>
    <row r="29" spans="2:8" ht="15" x14ac:dyDescent="0.25">
      <c r="B29" s="3" t="s">
        <v>95</v>
      </c>
      <c r="E29" s="19"/>
      <c r="F29" s="7"/>
      <c r="G29" s="7"/>
    </row>
    <row r="30" spans="2:8" x14ac:dyDescent="0.2">
      <c r="B30" s="3" t="s">
        <v>96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89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T('6długot.'!B2)</f>
        <v>powiaty</v>
      </c>
      <c r="D3" s="55" t="str">
        <f>T('6długot.'!C2)</f>
        <v>liczba bezrobotnych pow. 12 m-cy stan na 30 XI '23 r.</v>
      </c>
      <c r="E3" s="55" t="str">
        <f>T('6długot.'!D2)</f>
        <v>liczba bezrobotnych pow. 12 m-cy stan na 31 X '23 r.</v>
      </c>
      <c r="F3" s="55" t="str">
        <f>T('6długot.'!E2)</f>
        <v>wzrost/spadek do poprzedniego  miesiąca</v>
      </c>
      <c r="G3" s="55" t="str">
        <f>T('6długot.'!F2)</f>
        <v>liczba bezrobotnych pow. 12 m-cy,  stan na 30 XI '22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3</v>
      </c>
      <c r="C4" s="5" t="str">
        <f>INDEX('6długot.'!B3:G28,MATCH(1,B4:B29,0),1)</f>
        <v>Krosno</v>
      </c>
      <c r="D4" s="25">
        <f>INDEX('6długot.'!B3:G28,MATCH(1,B4:B29,0),2)</f>
        <v>299</v>
      </c>
      <c r="E4" s="61">
        <f>INDEX('6długot.'!B3:G28,MATCH(1,B4:B29,0),3)</f>
        <v>291</v>
      </c>
      <c r="F4" s="6">
        <f>INDEX('6długot.'!B3:G28,MATCH(1,B4:B29,0),4)</f>
        <v>8</v>
      </c>
      <c r="G4" s="61">
        <f>INDEX('6długot.'!B3:G28,MATCH(1,B4:B29,0),5)</f>
        <v>322</v>
      </c>
      <c r="H4" s="6">
        <f>INDEX('6długot.'!B3:G28,MATCH(1,B4:B29,0),6)</f>
        <v>-23</v>
      </c>
    </row>
    <row r="5" spans="2:8" x14ac:dyDescent="0.2">
      <c r="B5" s="6">
        <f>RANK('6długot.'!C4,'6długot.'!$C$3:'6długot.'!$C$28,1)+COUNTIF('6długot.'!$C$3:'6długot.'!C4,'6długot.'!C4)-1</f>
        <v>21</v>
      </c>
      <c r="C5" s="5" t="str">
        <f>INDEX('6długot.'!B3:G28,MATCH(2,B4:B29,0),1)</f>
        <v>Tarnobrzeg</v>
      </c>
      <c r="D5" s="6">
        <f>INDEX('6długot.'!B3:G28,MATCH(2,B4:B29,0),2)</f>
        <v>535</v>
      </c>
      <c r="E5" s="61">
        <f>INDEX('6długot.'!B3:G28,MATCH(2,B4:B29,0),3)</f>
        <v>534</v>
      </c>
      <c r="F5" s="6">
        <f>INDEX('6długot.'!B3:G28,MATCH(2,B4:B29,0),4)</f>
        <v>1</v>
      </c>
      <c r="G5" s="61">
        <f>INDEX('6długot.'!B3:G28,MATCH(2,B4:B29,0),5)</f>
        <v>622</v>
      </c>
      <c r="H5" s="6">
        <f>INDEX('6długot.'!B3:G28,MATCH(2,B4:B29,0),6)</f>
        <v>-87</v>
      </c>
    </row>
    <row r="6" spans="2:8" x14ac:dyDescent="0.2">
      <c r="B6" s="6">
        <f>RANK('6długot.'!C5,'6długot.'!$C$3:'6długot.'!$C$28,1)+COUNTIF('6długot.'!$C$3:'6długot.'!C5,'6długot.'!C5)-1</f>
        <v>9</v>
      </c>
      <c r="C6" s="5" t="str">
        <f>INDEX('6długot.'!B3:G28,MATCH(3,B4:B29,0),1)</f>
        <v>bieszczadzki</v>
      </c>
      <c r="D6" s="6">
        <f>INDEX('6długot.'!B3:G28,MATCH(3,B4:B29,0),2)</f>
        <v>604</v>
      </c>
      <c r="E6" s="61">
        <f>INDEX('6długot.'!B3:G28,MATCH(3,B4:B29,0),3)</f>
        <v>590</v>
      </c>
      <c r="F6" s="6">
        <f>INDEX('6długot.'!B3:G28,MATCH(3,B4:B29,0),4)</f>
        <v>14</v>
      </c>
      <c r="G6" s="61">
        <f>INDEX('6długot.'!B3:G28,MATCH(3,B4:B29,0),5)</f>
        <v>641</v>
      </c>
      <c r="H6" s="6">
        <f>INDEX('6długot.'!B3:G28,MATCH(3,B4:B29,0),6)</f>
        <v>-37</v>
      </c>
    </row>
    <row r="7" spans="2:8" x14ac:dyDescent="0.2">
      <c r="B7" s="6">
        <f>RANK('6długot.'!C6,'6długot.'!$C$3:'6długot.'!$C$28,1)+COUNTIF('6długot.'!$C$3:'6długot.'!C6,'6długot.'!C6)-1</f>
        <v>22</v>
      </c>
      <c r="C7" s="5" t="str">
        <f>INDEX('6długot.'!B3:G28,MATCH(4,B4:B29,0),1)</f>
        <v xml:space="preserve">tarnobrzeski </v>
      </c>
      <c r="D7" s="6">
        <f>INDEX('6długot.'!B3:G28,MATCH(4,B4:B29,0),2)</f>
        <v>617</v>
      </c>
      <c r="E7" s="61">
        <f>INDEX('6długot.'!B3:G28,MATCH(4,B4:B29,0),3)</f>
        <v>618</v>
      </c>
      <c r="F7" s="6">
        <f>INDEX('6długot.'!B3:G28,MATCH(4,B4:B29,0),4)</f>
        <v>-1</v>
      </c>
      <c r="G7" s="61">
        <f>INDEX('6długot.'!B3:G28,MATCH(4,B4:B29,0),5)</f>
        <v>697</v>
      </c>
      <c r="H7" s="6">
        <f>INDEX('6długot.'!B3:G28,MATCH(4,B4:B29,0),6)</f>
        <v>-80</v>
      </c>
    </row>
    <row r="8" spans="2:8" x14ac:dyDescent="0.2">
      <c r="B8" s="6">
        <f>RANK('6długot.'!C7,'6długot.'!$C$3:'6długot.'!$C$28,1)+COUNTIF('6długot.'!$C$3:'6długot.'!C7,'6długot.'!C7)-1</f>
        <v>24</v>
      </c>
      <c r="C8" s="5" t="str">
        <f>INDEX('6długot.'!B3:G28,MATCH(5,B4:B29,0),1)</f>
        <v>kolbuszowski</v>
      </c>
      <c r="D8" s="6">
        <f>INDEX('6długot.'!B3:G28,MATCH(5,B4:B29,0),2)</f>
        <v>739</v>
      </c>
      <c r="E8" s="61">
        <f>INDEX('6długot.'!B3:G28,MATCH(5,B4:B29,0),3)</f>
        <v>731</v>
      </c>
      <c r="F8" s="6">
        <f>INDEX('6długot.'!B3:G28,MATCH(5,B4:B29,0),4)</f>
        <v>8</v>
      </c>
      <c r="G8" s="61">
        <f>INDEX('6długot.'!B3:G28,MATCH(5,B4:B29,0),5)</f>
        <v>803</v>
      </c>
      <c r="H8" s="6">
        <f>INDEX('6długot.'!B3:G28,MATCH(5,B4:B29,0),6)</f>
        <v>-64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766</v>
      </c>
      <c r="E9" s="61">
        <f>INDEX('6długot.'!B3:G28,MATCH(6,B4:B29,0),3)</f>
        <v>745</v>
      </c>
      <c r="F9" s="6">
        <f>INDEX('6długot.'!B3:G28,MATCH(6,B4:B29,0),4)</f>
        <v>21</v>
      </c>
      <c r="G9" s="61">
        <f>INDEX('6długot.'!B3:G28,MATCH(6,B4:B29,0),5)</f>
        <v>779</v>
      </c>
      <c r="H9" s="6">
        <f>INDEX('6długot.'!B3:G28,MATCH(6,B4:B29,0),6)</f>
        <v>-13</v>
      </c>
    </row>
    <row r="10" spans="2:8" x14ac:dyDescent="0.2">
      <c r="B10" s="6">
        <f>RANK('6długot.'!C9,'6długot.'!$C$3:'6długot.'!$C$28,1)+COUNTIF('6długot.'!$C$3:'6długot.'!C9,'6długot.'!C9)-1</f>
        <v>8</v>
      </c>
      <c r="C10" s="9" t="str">
        <f>INDEX('6długot.'!B3:G28,MATCH(7,B4:B29,0),1)</f>
        <v>lubaczowski</v>
      </c>
      <c r="D10" s="6">
        <f>INDEX('6długot.'!B3:G28,MATCH(7,B4:B29,0),2)</f>
        <v>900</v>
      </c>
      <c r="E10" s="61">
        <f>INDEX('6długot.'!B3:G28,MATCH(7,B4:B29,0),3)</f>
        <v>883</v>
      </c>
      <c r="F10" s="6">
        <f>INDEX('6długot.'!B3:G28,MATCH(7,B4:B29,0),4)</f>
        <v>17</v>
      </c>
      <c r="G10" s="61">
        <f>INDEX('6długot.'!B3:G28,MATCH(7,B4:B29,0),5)</f>
        <v>982</v>
      </c>
      <c r="H10" s="6">
        <f>INDEX('6długot.'!B3:G28,MATCH(7,B4:B29,0),6)</f>
        <v>-82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krośnieński</v>
      </c>
      <c r="D11" s="6">
        <f>INDEX('6długot.'!B3:G28,MATCH(8,B4:B29,0),2)</f>
        <v>932</v>
      </c>
      <c r="E11" s="61">
        <f>INDEX('6długot.'!B3:G28,MATCH(8,B4:B29,0),3)</f>
        <v>914</v>
      </c>
      <c r="F11" s="6">
        <f>INDEX('6długot.'!B3:G28,MATCH(8,B4:B29,0),4)</f>
        <v>18</v>
      </c>
      <c r="G11" s="61">
        <f>INDEX('6długot.'!B3:G28,MATCH(8,B4:B29,0),5)</f>
        <v>941</v>
      </c>
      <c r="H11" s="6">
        <f>INDEX('6długot.'!B3:G28,MATCH(8,B4:B29,0),6)</f>
        <v>-9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dębicki</v>
      </c>
      <c r="D12" s="6">
        <f>INDEX('6długot.'!B3:G28,MATCH(9,B4:B29,0),2)</f>
        <v>967</v>
      </c>
      <c r="E12" s="61">
        <f>INDEX('6długot.'!B3:G28,MATCH(9,B4:B29,0),3)</f>
        <v>949</v>
      </c>
      <c r="F12" s="6">
        <f>INDEX('6długot.'!B3:G28,MATCH(9,B4:B29,0),4)</f>
        <v>18</v>
      </c>
      <c r="G12" s="61">
        <f>INDEX('6długot.'!B3:G28,MATCH(9,B4:B29,0),5)</f>
        <v>1078</v>
      </c>
      <c r="H12" s="6">
        <f>INDEX('6długot.'!B3:G28,MATCH(9,B4:B29,0),6)</f>
        <v>-111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1050</v>
      </c>
      <c r="E13" s="61">
        <f>INDEX('6długot.'!B3:G28,MATCH(10,B4:B29,0),3)</f>
        <v>1034</v>
      </c>
      <c r="F13" s="6">
        <f>INDEX('6długot.'!B3:G28,MATCH(10,B4:B29,0),4)</f>
        <v>16</v>
      </c>
      <c r="G13" s="61">
        <f>INDEX('6długot.'!B3:G28,MATCH(10,B4:B29,0),5)</f>
        <v>1039</v>
      </c>
      <c r="H13" s="6">
        <f>INDEX('6długot.'!B3:G28,MATCH(10,B4:B29,0),6)</f>
        <v>11</v>
      </c>
    </row>
    <row r="14" spans="2:8" x14ac:dyDescent="0.2">
      <c r="B14" s="6">
        <f>RANK('6długot.'!C13,'6długot.'!$C$3:'6długot.'!$C$28,1)+COUNTIF('6długot.'!$C$3:'6długot.'!C13,'6długot.'!C13)-1</f>
        <v>11</v>
      </c>
      <c r="C14" s="5" t="str">
        <f>INDEX('6długot.'!B3:G28,MATCH(11,B4:B29,0),1)</f>
        <v>łańcucki</v>
      </c>
      <c r="D14" s="6">
        <f>INDEX('6długot.'!B3:G28,MATCH(11,B4:B29,0),2)</f>
        <v>1246</v>
      </c>
      <c r="E14" s="61">
        <f>INDEX('6długot.'!B3:G28,MATCH(11,B4:B29,0),3)</f>
        <v>1228</v>
      </c>
      <c r="F14" s="6">
        <f>INDEX('6długot.'!B3:G28,MATCH(11,B4:B29,0),4)</f>
        <v>18</v>
      </c>
      <c r="G14" s="61">
        <f>INDEX('6długot.'!B3:G28,MATCH(11,B4:B29,0),5)</f>
        <v>1382</v>
      </c>
      <c r="H14" s="6">
        <f>INDEX('6długot.'!B3:G28,MATCH(11,B4:B29,0),6)</f>
        <v>-136</v>
      </c>
    </row>
    <row r="15" spans="2:8" x14ac:dyDescent="0.2">
      <c r="B15" s="6">
        <f>RANK('6długot.'!C14,'6długot.'!$C$3:'6długot.'!$C$28,1)+COUNTIF('6długot.'!$C$3:'6długot.'!C14,'6długot.'!C14)-1</f>
        <v>13</v>
      </c>
      <c r="C15" s="5" t="str">
        <f>INDEX('6długot.'!B3:G28,MATCH(12,B4:B29,0),1)</f>
        <v>ropczycko-sędziszowski</v>
      </c>
      <c r="D15" s="6">
        <f>INDEX('6długot.'!B3:G28,MATCH(12,B4:B29,0),2)</f>
        <v>1320</v>
      </c>
      <c r="E15" s="61">
        <f>INDEX('6długot.'!B3:G28,MATCH(12,B4:B29,0),3)</f>
        <v>1336</v>
      </c>
      <c r="F15" s="6">
        <f>INDEX('6długot.'!B3:G28,MATCH(12,B4:B29,0),4)</f>
        <v>-16</v>
      </c>
      <c r="G15" s="61">
        <f>INDEX('6długot.'!B3:G28,MATCH(12,B4:B29,0),5)</f>
        <v>1608</v>
      </c>
      <c r="H15" s="6">
        <f>INDEX('6długot.'!B3:G28,MATCH(12,B4:B29,0),6)</f>
        <v>-288</v>
      </c>
    </row>
    <row r="16" spans="2:8" x14ac:dyDescent="0.2">
      <c r="B16" s="6">
        <f>RANK('6długot.'!C15,'6długot.'!$C$3:'6długot.'!$C$28,1)+COUNTIF('6długot.'!$C$3:'6długot.'!C15,'6długot.'!C15)-1</f>
        <v>16</v>
      </c>
      <c r="C16" s="5" t="str">
        <f>INDEX('6długot.'!B3:G28,MATCH(13,B4:B29,0),1)</f>
        <v>mielecki</v>
      </c>
      <c r="D16" s="6">
        <f>INDEX('6długot.'!B3:G28,MATCH(13,B4:B29,0),2)</f>
        <v>1327</v>
      </c>
      <c r="E16" s="61">
        <f>INDEX('6długot.'!B3:G28,MATCH(13,B4:B29,0),3)</f>
        <v>1285</v>
      </c>
      <c r="F16" s="6">
        <f>INDEX('6długot.'!B3:G28,MATCH(13,B4:B29,0),4)</f>
        <v>42</v>
      </c>
      <c r="G16" s="61">
        <f>INDEX('6długot.'!B3:G28,MATCH(13,B4:B29,0),5)</f>
        <v>1232</v>
      </c>
      <c r="H16" s="6">
        <f>INDEX('6długot.'!B3:G28,MATCH(13,B4:B29,0),6)</f>
        <v>95</v>
      </c>
    </row>
    <row r="17" spans="2:8" x14ac:dyDescent="0.2">
      <c r="B17" s="6">
        <f>RANK('6długot.'!C16,'6długot.'!$C$3:'6długot.'!$C$28,1)+COUNTIF('6długot.'!$C$3:'6długot.'!C16,'6długot.'!C16)-1</f>
        <v>17</v>
      </c>
      <c r="C17" s="5" t="str">
        <f>INDEX('6długot.'!B3:G28,MATCH(14,B4:B29,0),1)</f>
        <v>sanocki</v>
      </c>
      <c r="D17" s="6">
        <f>INDEX('6długot.'!B3:G28,MATCH(14,B4:B29,0),2)</f>
        <v>1356</v>
      </c>
      <c r="E17" s="61">
        <f>INDEX('6długot.'!B3:G28,MATCH(14,B4:B29,0),3)</f>
        <v>1347</v>
      </c>
      <c r="F17" s="6">
        <f>INDEX('6długot.'!B3:G28,MATCH(14,B4:B29,0),4)</f>
        <v>9</v>
      </c>
      <c r="G17" s="61">
        <f>INDEX('6długot.'!B3:G28,MATCH(14,B4:B29,0),5)</f>
        <v>1294</v>
      </c>
      <c r="H17" s="6">
        <f>INDEX('6długot.'!B3:G28,MATCH(14,B4:B29,0),6)</f>
        <v>62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1495</v>
      </c>
      <c r="E18" s="61">
        <f>INDEX('6długot.'!B3:G28,MATCH(15,B4:B29,0),3)</f>
        <v>1491</v>
      </c>
      <c r="F18" s="6">
        <f>INDEX('6długot.'!B3:G28,MATCH(15,B4:B29,0),4)</f>
        <v>4</v>
      </c>
      <c r="G18" s="61">
        <f>INDEX('6długot.'!B3:G28,MATCH(15,B4:B29,0),5)</f>
        <v>1596</v>
      </c>
      <c r="H18" s="6">
        <f>INDEX('6długot.'!B3:G28,MATCH(15,B4:B29,0),6)</f>
        <v>-101</v>
      </c>
    </row>
    <row r="19" spans="2:8" x14ac:dyDescent="0.2">
      <c r="B19" s="6">
        <f>RANK('6długot.'!C18,'6długot.'!$C$3:'6długot.'!$C$28,1)+COUNTIF('6długot.'!$C$3:'6długot.'!C18,'6długot.'!C18)-1</f>
        <v>12</v>
      </c>
      <c r="C19" s="5" t="str">
        <f>INDEX('6długot.'!B3:G28,MATCH(16,B4:B29,0),1)</f>
        <v>niżański</v>
      </c>
      <c r="D19" s="6">
        <f>INDEX('6długot.'!B3:G28,MATCH(16,B4:B29,0),2)</f>
        <v>1657</v>
      </c>
      <c r="E19" s="61">
        <f>INDEX('6długot.'!B3:G28,MATCH(16,B4:B29,0),3)</f>
        <v>1651</v>
      </c>
      <c r="F19" s="6">
        <f>INDEX('6długot.'!B3:G28,MATCH(16,B4:B29,0),4)</f>
        <v>6</v>
      </c>
      <c r="G19" s="61">
        <f>INDEX('6długot.'!B3:G28,MATCH(16,B4:B29,0),5)</f>
        <v>1749</v>
      </c>
      <c r="H19" s="6">
        <f>INDEX('6długot.'!B3:G28,MATCH(16,B4:B29,0),6)</f>
        <v>-92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przemyski</v>
      </c>
      <c r="D20" s="6">
        <f>INDEX('6długot.'!B3:G28,MATCH(17,B4:B29,0),2)</f>
        <v>1687</v>
      </c>
      <c r="E20" s="61">
        <f>INDEX('6długot.'!B3:G28,MATCH(17,B4:B29,0),3)</f>
        <v>1710</v>
      </c>
      <c r="F20" s="6">
        <f>INDEX('6długot.'!B3:G28,MATCH(17,B4:B29,0),4)</f>
        <v>-23</v>
      </c>
      <c r="G20" s="61">
        <f>INDEX('6długot.'!B3:G28,MATCH(17,B4:B29,0),5)</f>
        <v>1825</v>
      </c>
      <c r="H20" s="6">
        <f>INDEX('6długot.'!B3:G28,MATCH(17,B4:B29,0),6)</f>
        <v>-138</v>
      </c>
    </row>
    <row r="21" spans="2:8" x14ac:dyDescent="0.2">
      <c r="B21" s="6">
        <f>RANK('6długot.'!C20,'6długot.'!$C$3:'6długot.'!$C$28,1)+COUNTIF('6długot.'!$C$3:'6długot.'!C20,'6długot.'!C20)-1</f>
        <v>14</v>
      </c>
      <c r="C21" s="5" t="str">
        <f>INDEX('6długot.'!B3:G28,MATCH(18,B4:B29,0),1)</f>
        <v>leżajski</v>
      </c>
      <c r="D21" s="6">
        <f>INDEX('6długot.'!B3:G28,MATCH(18,B4:B29,0),2)</f>
        <v>1746</v>
      </c>
      <c r="E21" s="61">
        <f>INDEX('6długot.'!B3:G28,MATCH(18,B4:B29,0),3)</f>
        <v>1722</v>
      </c>
      <c r="F21" s="6">
        <f>INDEX('6długot.'!B3:G28,MATCH(18,B4:B29,0),4)</f>
        <v>24</v>
      </c>
      <c r="G21" s="61">
        <f>INDEX('6długot.'!B3:G28,MATCH(18,B4:B29,0),5)</f>
        <v>1921</v>
      </c>
      <c r="H21" s="6">
        <f>INDEX('6długot.'!B3:G28,MATCH(18,B4:B29,0),6)</f>
        <v>-175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1913</v>
      </c>
      <c r="E22" s="61">
        <f>INDEX('6długot.'!B3:G28,MATCH(19,B4:B29,0),3)</f>
        <v>1889</v>
      </c>
      <c r="F22" s="6">
        <f>INDEX('6długot.'!B3:G28,MATCH(19,B4:B29,0),4)</f>
        <v>24</v>
      </c>
      <c r="G22" s="61">
        <f>INDEX('6długot.'!B3:G28,MATCH(19,B4:B29,0),5)</f>
        <v>2058</v>
      </c>
      <c r="H22" s="6">
        <f>INDEX('6długot.'!B3:G28,MATCH(19,B4:B29,0),6)</f>
        <v>-145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1986</v>
      </c>
      <c r="E23" s="61">
        <f>INDEX('6długot.'!B3:G28,MATCH(20,B4:B29,0),3)</f>
        <v>1993</v>
      </c>
      <c r="F23" s="6">
        <f>INDEX('6długot.'!B3:G28,MATCH(20,B4:B29,0),4)</f>
        <v>-7</v>
      </c>
      <c r="G23" s="61">
        <f>INDEX('6długot.'!B3:G28,MATCH(20,B4:B29,0),5)</f>
        <v>2173</v>
      </c>
      <c r="H23" s="6">
        <f>INDEX('6długot.'!B3:G28,MATCH(20,B4:B29,0),6)</f>
        <v>-187</v>
      </c>
    </row>
    <row r="24" spans="2:8" x14ac:dyDescent="0.2">
      <c r="B24" s="6">
        <f>RANK('6długot.'!C23,'6długot.'!$C$3:'6długot.'!$C$28,1)+COUNTIF('6długot.'!$C$3:'6długot.'!C23,'6długot.'!C23)-1</f>
        <v>4</v>
      </c>
      <c r="C24" s="5" t="str">
        <f>INDEX('6długot.'!B3:G28,MATCH(21,B4:B29,0),1)</f>
        <v>brzozowski</v>
      </c>
      <c r="D24" s="6">
        <f>INDEX('6długot.'!B3:G28,MATCH(21,B4:B29,0),2)</f>
        <v>2410</v>
      </c>
      <c r="E24" s="61">
        <f>INDEX('6długot.'!B3:G28,MATCH(21,B4:B29,0),3)</f>
        <v>2376</v>
      </c>
      <c r="F24" s="6">
        <f>INDEX('6długot.'!B3:G28,MATCH(21,B4:B29,0),4)</f>
        <v>34</v>
      </c>
      <c r="G24" s="61">
        <f>INDEX('6długot.'!B3:G28,MATCH(21,B4:B29,0),5)</f>
        <v>2592</v>
      </c>
      <c r="H24" s="6">
        <f>INDEX('6długot.'!B3:G28,MATCH(21,B4:B29,0),6)</f>
        <v>-182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jarosławski</v>
      </c>
      <c r="D25" s="6">
        <f>INDEX('6długot.'!B3:G28,MATCH(22,B4:B29,0),2)</f>
        <v>2412</v>
      </c>
      <c r="E25" s="61">
        <f>INDEX('6długot.'!B3:G28,MATCH(22,B4:B29,0),3)</f>
        <v>2478</v>
      </c>
      <c r="F25" s="6">
        <f>INDEX('6długot.'!B3:G28,MATCH(22,B4:B29,0),4)</f>
        <v>-66</v>
      </c>
      <c r="G25" s="61">
        <f>INDEX('6długot.'!B3:G28,MATCH(22,B4:B29,0),5)</f>
        <v>2849</v>
      </c>
      <c r="H25" s="6">
        <f>INDEX('6długot.'!B3:G28,MATCH(22,B4:B29,0),6)</f>
        <v>-437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2622</v>
      </c>
      <c r="E26" s="61">
        <f>INDEX('6długot.'!B3:G28,MATCH(23,B4:B29,0),3)</f>
        <v>2620</v>
      </c>
      <c r="F26" s="6">
        <f>INDEX('6długot.'!B3:G28,MATCH(23,B4:B29,0),4)</f>
        <v>2</v>
      </c>
      <c r="G26" s="61">
        <f>INDEX('6długot.'!B3:G28,MATCH(23,B4:B29,0),5)</f>
        <v>3034</v>
      </c>
      <c r="H26" s="6">
        <f>INDEX('6długot.'!B3:G28,MATCH(23,B4:B29,0),6)</f>
        <v>-412</v>
      </c>
    </row>
    <row r="27" spans="2:8" x14ac:dyDescent="0.2">
      <c r="B27" s="6">
        <f>RANK('6długot.'!C26,'6długot.'!$C$3:'6długot.'!$C$28,1)+COUNTIF('6długot.'!$C$3:'6długot.'!C26,'6długot.'!C26)-1</f>
        <v>25</v>
      </c>
      <c r="C27" s="5" t="str">
        <f>INDEX('6długot.'!B3:G28,MATCH(24,B4:B29,0),1)</f>
        <v>jasielski</v>
      </c>
      <c r="D27" s="6">
        <f>INDEX('6długot.'!B3:G28,MATCH(24,B4:B29,0),2)</f>
        <v>3049</v>
      </c>
      <c r="E27" s="61">
        <f>INDEX('6długot.'!B3:G28,MATCH(24,B4:B29,0),3)</f>
        <v>2979</v>
      </c>
      <c r="F27" s="6">
        <f>INDEX('6długot.'!B3:G28,MATCH(24,B4:B29,0),4)</f>
        <v>70</v>
      </c>
      <c r="G27" s="61">
        <f>INDEX('6długot.'!B3:G28,MATCH(24,B4:B29,0),5)</f>
        <v>3068</v>
      </c>
      <c r="H27" s="6">
        <f>INDEX('6długot.'!B3:G28,MATCH(24,B4:B29,0),6)</f>
        <v>-19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Rzeszów</v>
      </c>
      <c r="D28" s="6">
        <f>INDEX('6długot.'!B3:G28,MATCH(25,B4:B29,0),2)</f>
        <v>3101</v>
      </c>
      <c r="E28" s="61">
        <f>INDEX('6długot.'!B3:G28,MATCH(25,B4:B29,0),3)</f>
        <v>3081</v>
      </c>
      <c r="F28" s="6">
        <f>INDEX('6długot.'!B3:G28,MATCH(25,B4:B29,0),4)</f>
        <v>20</v>
      </c>
      <c r="G28" s="61">
        <f>INDEX('6długot.'!B3:G28,MATCH(25,B4:B29,0),5)</f>
        <v>3436</v>
      </c>
      <c r="H28" s="6">
        <f>INDEX('6długot.'!B3:G28,MATCH(25,B4:B29,0),6)</f>
        <v>-335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36736</v>
      </c>
      <c r="E29" s="63">
        <f>INDEX('6długot.'!B3:G28,MATCH(26,B4:B29,0),3)</f>
        <v>36475</v>
      </c>
      <c r="F29" s="59">
        <f>INDEX('6długot.'!B3:G28,MATCH(26,B4:B29,0),4)</f>
        <v>261</v>
      </c>
      <c r="G29" s="63">
        <f>INDEX('6długot.'!B3:G28,MATCH(26,B4:B29,0),5)</f>
        <v>39721</v>
      </c>
      <c r="H29" s="59">
        <f>INDEX('6długot.'!B3:G28,MATCH(26,B4:B29,0),6)</f>
        <v>-2985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16384" width="9.140625" style="3"/>
  </cols>
  <sheetData>
    <row r="1" spans="2:8" ht="20.25" customHeight="1" x14ac:dyDescent="0.2">
      <c r="B1" s="1" t="s">
        <v>94</v>
      </c>
      <c r="C1" s="44"/>
      <c r="D1" s="44"/>
      <c r="E1" s="44"/>
      <c r="F1" s="44"/>
      <c r="G1" s="44"/>
    </row>
    <row r="2" spans="2:8" ht="57.75" x14ac:dyDescent="0.2">
      <c r="B2" s="55" t="s">
        <v>27</v>
      </c>
      <c r="C2" s="56" t="s">
        <v>144</v>
      </c>
      <c r="D2" s="57" t="s">
        <v>143</v>
      </c>
      <c r="E2" s="56" t="s">
        <v>28</v>
      </c>
      <c r="F2" s="57" t="s">
        <v>145</v>
      </c>
      <c r="G2" s="56" t="s">
        <v>26</v>
      </c>
    </row>
    <row r="3" spans="2:8" x14ac:dyDescent="0.2">
      <c r="B3" s="5" t="s">
        <v>0</v>
      </c>
      <c r="C3" s="45">
        <v>279</v>
      </c>
      <c r="D3" s="61">
        <v>271</v>
      </c>
      <c r="E3" s="45">
        <f t="shared" ref="E3:E27" si="0">SUM(C3)-D3</f>
        <v>8</v>
      </c>
      <c r="F3" s="61">
        <v>299</v>
      </c>
      <c r="G3" s="45">
        <f t="shared" ref="G3:G27" si="1">SUM(C3)-F3</f>
        <v>-20</v>
      </c>
      <c r="H3" s="7"/>
    </row>
    <row r="4" spans="2:8" x14ac:dyDescent="0.2">
      <c r="B4" s="5" t="s">
        <v>1</v>
      </c>
      <c r="C4" s="45">
        <v>1015</v>
      </c>
      <c r="D4" s="61">
        <v>988</v>
      </c>
      <c r="E4" s="45">
        <f t="shared" si="0"/>
        <v>27</v>
      </c>
      <c r="F4" s="61">
        <v>1017</v>
      </c>
      <c r="G4" s="45">
        <f t="shared" si="1"/>
        <v>-2</v>
      </c>
      <c r="H4" s="7"/>
    </row>
    <row r="5" spans="2:8" x14ac:dyDescent="0.2">
      <c r="B5" s="5" t="s">
        <v>2</v>
      </c>
      <c r="C5" s="45">
        <v>703</v>
      </c>
      <c r="D5" s="61">
        <v>708</v>
      </c>
      <c r="E5" s="45">
        <f t="shared" si="0"/>
        <v>-5</v>
      </c>
      <c r="F5" s="61">
        <v>736</v>
      </c>
      <c r="G5" s="45">
        <f t="shared" si="1"/>
        <v>-33</v>
      </c>
      <c r="H5" s="7"/>
    </row>
    <row r="6" spans="2:8" x14ac:dyDescent="0.2">
      <c r="B6" s="5" t="s">
        <v>3</v>
      </c>
      <c r="C6" s="45">
        <v>1087</v>
      </c>
      <c r="D6" s="61">
        <v>1077</v>
      </c>
      <c r="E6" s="45">
        <f t="shared" si="0"/>
        <v>10</v>
      </c>
      <c r="F6" s="61">
        <v>1249</v>
      </c>
      <c r="G6" s="45">
        <f t="shared" si="1"/>
        <v>-162</v>
      </c>
      <c r="H6" s="7"/>
    </row>
    <row r="7" spans="2:8" x14ac:dyDescent="0.2">
      <c r="B7" s="5" t="s">
        <v>4</v>
      </c>
      <c r="C7" s="45">
        <v>1304</v>
      </c>
      <c r="D7" s="61">
        <v>1250</v>
      </c>
      <c r="E7" s="45">
        <f t="shared" si="0"/>
        <v>54</v>
      </c>
      <c r="F7" s="61">
        <v>1211</v>
      </c>
      <c r="G7" s="45">
        <f t="shared" si="1"/>
        <v>93</v>
      </c>
      <c r="H7" s="7"/>
    </row>
    <row r="8" spans="2:8" x14ac:dyDescent="0.2">
      <c r="B8" s="5" t="s">
        <v>5</v>
      </c>
      <c r="C8" s="45">
        <v>425</v>
      </c>
      <c r="D8" s="61">
        <v>415</v>
      </c>
      <c r="E8" s="45">
        <f t="shared" si="0"/>
        <v>10</v>
      </c>
      <c r="F8" s="61">
        <v>439</v>
      </c>
      <c r="G8" s="45">
        <f t="shared" si="1"/>
        <v>-14</v>
      </c>
      <c r="H8" s="7"/>
    </row>
    <row r="9" spans="2:8" x14ac:dyDescent="0.2">
      <c r="B9" s="9" t="s">
        <v>6</v>
      </c>
      <c r="C9" s="45">
        <v>607</v>
      </c>
      <c r="D9" s="61">
        <v>571</v>
      </c>
      <c r="E9" s="45">
        <f t="shared" si="0"/>
        <v>36</v>
      </c>
      <c r="F9" s="61">
        <v>492</v>
      </c>
      <c r="G9" s="45">
        <f t="shared" si="1"/>
        <v>115</v>
      </c>
      <c r="H9" s="7"/>
    </row>
    <row r="10" spans="2:8" x14ac:dyDescent="0.2">
      <c r="B10" s="5" t="s">
        <v>7</v>
      </c>
      <c r="C10" s="45">
        <v>420</v>
      </c>
      <c r="D10" s="61">
        <v>406</v>
      </c>
      <c r="E10" s="45">
        <f t="shared" si="0"/>
        <v>14</v>
      </c>
      <c r="F10" s="61">
        <v>441</v>
      </c>
      <c r="G10" s="45">
        <f t="shared" si="1"/>
        <v>-21</v>
      </c>
      <c r="H10" s="7"/>
    </row>
    <row r="11" spans="2:8" x14ac:dyDescent="0.2">
      <c r="B11" s="5" t="s">
        <v>8</v>
      </c>
      <c r="C11" s="45">
        <v>875</v>
      </c>
      <c r="D11" s="61">
        <v>850</v>
      </c>
      <c r="E11" s="45">
        <f t="shared" si="0"/>
        <v>25</v>
      </c>
      <c r="F11" s="61">
        <v>906</v>
      </c>
      <c r="G11" s="45">
        <f t="shared" si="1"/>
        <v>-31</v>
      </c>
      <c r="H11" s="7"/>
    </row>
    <row r="12" spans="2:8" x14ac:dyDescent="0.2">
      <c r="B12" s="5" t="s">
        <v>9</v>
      </c>
      <c r="C12" s="45">
        <v>516</v>
      </c>
      <c r="D12" s="61">
        <v>483</v>
      </c>
      <c r="E12" s="45">
        <f t="shared" si="0"/>
        <v>33</v>
      </c>
      <c r="F12" s="61">
        <v>516</v>
      </c>
      <c r="G12" s="45">
        <f t="shared" si="1"/>
        <v>0</v>
      </c>
      <c r="H12" s="7"/>
    </row>
    <row r="13" spans="2:8" x14ac:dyDescent="0.2">
      <c r="B13" s="5" t="s">
        <v>10</v>
      </c>
      <c r="C13" s="45">
        <v>686</v>
      </c>
      <c r="D13" s="61">
        <v>673</v>
      </c>
      <c r="E13" s="45">
        <f t="shared" si="0"/>
        <v>13</v>
      </c>
      <c r="F13" s="61">
        <v>762</v>
      </c>
      <c r="G13" s="45">
        <f t="shared" si="1"/>
        <v>-76</v>
      </c>
      <c r="H13" s="7"/>
    </row>
    <row r="14" spans="2:8" x14ac:dyDescent="0.2">
      <c r="B14" s="5" t="s">
        <v>11</v>
      </c>
      <c r="C14" s="45">
        <v>801</v>
      </c>
      <c r="D14" s="61">
        <v>786</v>
      </c>
      <c r="E14" s="45">
        <f t="shared" si="0"/>
        <v>15</v>
      </c>
      <c r="F14" s="61">
        <v>687</v>
      </c>
      <c r="G14" s="45">
        <f t="shared" si="1"/>
        <v>114</v>
      </c>
      <c r="H14" s="7"/>
    </row>
    <row r="15" spans="2:8" x14ac:dyDescent="0.2">
      <c r="B15" s="5" t="s">
        <v>12</v>
      </c>
      <c r="C15" s="45">
        <v>815</v>
      </c>
      <c r="D15" s="61">
        <v>814</v>
      </c>
      <c r="E15" s="45">
        <f t="shared" si="0"/>
        <v>1</v>
      </c>
      <c r="F15" s="61">
        <v>848</v>
      </c>
      <c r="G15" s="45">
        <f t="shared" si="1"/>
        <v>-33</v>
      </c>
      <c r="H15" s="7"/>
    </row>
    <row r="16" spans="2:8" x14ac:dyDescent="0.2">
      <c r="B16" s="5" t="s">
        <v>13</v>
      </c>
      <c r="C16" s="45">
        <v>798</v>
      </c>
      <c r="D16" s="61">
        <v>779</v>
      </c>
      <c r="E16" s="45">
        <f t="shared" si="0"/>
        <v>19</v>
      </c>
      <c r="F16" s="61">
        <v>787</v>
      </c>
      <c r="G16" s="45">
        <f t="shared" si="1"/>
        <v>11</v>
      </c>
      <c r="H16" s="7"/>
    </row>
    <row r="17" spans="2:8" x14ac:dyDescent="0.2">
      <c r="B17" s="5" t="s">
        <v>14</v>
      </c>
      <c r="C17" s="45">
        <v>918</v>
      </c>
      <c r="D17" s="61">
        <v>907</v>
      </c>
      <c r="E17" s="45">
        <f t="shared" si="0"/>
        <v>11</v>
      </c>
      <c r="F17" s="61">
        <v>995</v>
      </c>
      <c r="G17" s="45">
        <f t="shared" si="1"/>
        <v>-77</v>
      </c>
      <c r="H17" s="7"/>
    </row>
    <row r="18" spans="2:8" x14ac:dyDescent="0.2">
      <c r="B18" s="5" t="s">
        <v>15</v>
      </c>
      <c r="C18" s="45">
        <v>713</v>
      </c>
      <c r="D18" s="61">
        <v>770</v>
      </c>
      <c r="E18" s="45">
        <f t="shared" si="0"/>
        <v>-57</v>
      </c>
      <c r="F18" s="61">
        <v>792</v>
      </c>
      <c r="G18" s="45">
        <f t="shared" si="1"/>
        <v>-79</v>
      </c>
      <c r="H18" s="7"/>
    </row>
    <row r="19" spans="2:8" x14ac:dyDescent="0.2">
      <c r="B19" s="5" t="s">
        <v>16</v>
      </c>
      <c r="C19" s="45">
        <v>1250</v>
      </c>
      <c r="D19" s="61">
        <v>1219</v>
      </c>
      <c r="E19" s="45">
        <f t="shared" si="0"/>
        <v>31</v>
      </c>
      <c r="F19" s="61">
        <v>1346</v>
      </c>
      <c r="G19" s="45">
        <f t="shared" si="1"/>
        <v>-96</v>
      </c>
      <c r="H19" s="7"/>
    </row>
    <row r="20" spans="2:8" x14ac:dyDescent="0.2">
      <c r="B20" s="5" t="s">
        <v>17</v>
      </c>
      <c r="C20" s="45">
        <v>741</v>
      </c>
      <c r="D20" s="61">
        <v>723</v>
      </c>
      <c r="E20" s="45">
        <f t="shared" si="0"/>
        <v>18</v>
      </c>
      <c r="F20" s="61">
        <v>744</v>
      </c>
      <c r="G20" s="45">
        <f t="shared" si="1"/>
        <v>-3</v>
      </c>
      <c r="H20" s="7"/>
    </row>
    <row r="21" spans="2:8" x14ac:dyDescent="0.2">
      <c r="B21" s="5" t="s">
        <v>18</v>
      </c>
      <c r="C21" s="45">
        <v>534</v>
      </c>
      <c r="D21" s="61">
        <v>536</v>
      </c>
      <c r="E21" s="45">
        <f t="shared" si="0"/>
        <v>-2</v>
      </c>
      <c r="F21" s="61">
        <v>479</v>
      </c>
      <c r="G21" s="45">
        <f t="shared" si="1"/>
        <v>55</v>
      </c>
      <c r="H21" s="7"/>
    </row>
    <row r="22" spans="2:8" x14ac:dyDescent="0.2">
      <c r="B22" s="5" t="s">
        <v>19</v>
      </c>
      <c r="C22" s="45">
        <v>853</v>
      </c>
      <c r="D22" s="61">
        <v>819</v>
      </c>
      <c r="E22" s="45">
        <f t="shared" si="0"/>
        <v>34</v>
      </c>
      <c r="F22" s="61">
        <v>923</v>
      </c>
      <c r="G22" s="45">
        <f t="shared" si="1"/>
        <v>-70</v>
      </c>
      <c r="H22" s="7"/>
    </row>
    <row r="23" spans="2:8" x14ac:dyDescent="0.2">
      <c r="B23" s="5" t="s">
        <v>20</v>
      </c>
      <c r="C23" s="45">
        <v>334</v>
      </c>
      <c r="D23" s="61">
        <v>322</v>
      </c>
      <c r="E23" s="45">
        <f t="shared" si="0"/>
        <v>12</v>
      </c>
      <c r="F23" s="61">
        <v>332</v>
      </c>
      <c r="G23" s="45">
        <f t="shared" si="1"/>
        <v>2</v>
      </c>
      <c r="H23" s="7"/>
    </row>
    <row r="24" spans="2:8" x14ac:dyDescent="0.2">
      <c r="B24" s="5" t="s">
        <v>21</v>
      </c>
      <c r="C24" s="45">
        <v>148</v>
      </c>
      <c r="D24" s="61">
        <v>136</v>
      </c>
      <c r="E24" s="45">
        <f t="shared" si="0"/>
        <v>12</v>
      </c>
      <c r="F24" s="61">
        <v>121</v>
      </c>
      <c r="G24" s="45">
        <f t="shared" si="1"/>
        <v>27</v>
      </c>
      <c r="H24" s="7"/>
    </row>
    <row r="25" spans="2:8" x14ac:dyDescent="0.2">
      <c r="B25" s="5" t="s">
        <v>22</v>
      </c>
      <c r="C25" s="45">
        <v>400</v>
      </c>
      <c r="D25" s="61">
        <v>408</v>
      </c>
      <c r="E25" s="45">
        <f t="shared" si="0"/>
        <v>-8</v>
      </c>
      <c r="F25" s="61">
        <v>418</v>
      </c>
      <c r="G25" s="45">
        <f t="shared" si="1"/>
        <v>-18</v>
      </c>
      <c r="H25" s="7"/>
    </row>
    <row r="26" spans="2:8" x14ac:dyDescent="0.2">
      <c r="B26" s="5" t="s">
        <v>23</v>
      </c>
      <c r="C26" s="45">
        <v>927</v>
      </c>
      <c r="D26" s="61">
        <v>875</v>
      </c>
      <c r="E26" s="45">
        <f t="shared" si="0"/>
        <v>52</v>
      </c>
      <c r="F26" s="61">
        <v>1059</v>
      </c>
      <c r="G26" s="45">
        <f t="shared" si="1"/>
        <v>-132</v>
      </c>
      <c r="H26" s="7"/>
    </row>
    <row r="27" spans="2:8" x14ac:dyDescent="0.2">
      <c r="B27" s="5" t="s">
        <v>24</v>
      </c>
      <c r="C27" s="45">
        <v>217</v>
      </c>
      <c r="D27" s="61">
        <v>228</v>
      </c>
      <c r="E27" s="45">
        <f t="shared" si="0"/>
        <v>-11</v>
      </c>
      <c r="F27" s="61">
        <v>209</v>
      </c>
      <c r="G27" s="45">
        <f t="shared" si="1"/>
        <v>8</v>
      </c>
      <c r="H27" s="7"/>
    </row>
    <row r="28" spans="2:8" ht="15" x14ac:dyDescent="0.25">
      <c r="B28" s="58" t="s">
        <v>25</v>
      </c>
      <c r="C28" s="77">
        <f>SUM(C3:C27)</f>
        <v>17366</v>
      </c>
      <c r="D28" s="63">
        <f>SUM(D3:D27)</f>
        <v>17014</v>
      </c>
      <c r="E28" s="77">
        <f>SUM(E3:E27)</f>
        <v>352</v>
      </c>
      <c r="F28" s="63">
        <f>SUM(F3:F27)</f>
        <v>17808</v>
      </c>
      <c r="G28" s="77">
        <f>SUM(G3:G27)</f>
        <v>-442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81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T('7do 30 r.ż.'!B2)</f>
        <v>powiaty</v>
      </c>
      <c r="D3" s="55" t="str">
        <f>T('7do 30 r.ż.'!C2)</f>
        <v>liczba bezrobotnych do 30 r. ż. stan na 30 XI '23 r.</v>
      </c>
      <c r="E3" s="55" t="str">
        <f>T('7do 30 r.ż.'!D2)</f>
        <v>liczba bezrobotnych do 30 r. ż. stan na 31 X '23 r.</v>
      </c>
      <c r="F3" s="55" t="str">
        <f>T('7do 30 r.ż.'!E2)</f>
        <v>wzrost/spadek do poprzedniego  miesiąca</v>
      </c>
      <c r="G3" s="55" t="str">
        <f>T('7do 30 r.ż.'!F2)</f>
        <v>liczba bezrobotnych do 30 r. ż. stan na 30 XI '22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148</v>
      </c>
      <c r="E4" s="61">
        <f>INDEX('7do 30 r.ż.'!B3:G28,MATCH(1,B4:B29,0),3)</f>
        <v>136</v>
      </c>
      <c r="F4" s="6">
        <f>INDEX('7do 30 r.ż.'!B3:G28,MATCH(1,B4:B29,0),4)</f>
        <v>12</v>
      </c>
      <c r="G4" s="61">
        <f>INDEX('7do 30 r.ż.'!B3:G28,MATCH(1,B4:B29,0),5)</f>
        <v>121</v>
      </c>
      <c r="H4" s="6">
        <f>INDEX('7do 30 r.ż.'!B3:G28,MATCH(1,B4:B29,0),6)</f>
        <v>27</v>
      </c>
    </row>
    <row r="5" spans="2:8" x14ac:dyDescent="0.2">
      <c r="B5" s="6">
        <f>RANK('7do 30 r.ż.'!C4,'7do 30 r.ż.'!$C$3:'7do 30 r.ż.'!$C$28,1)+COUNTIF('7do 30 r.ż.'!$C$3:'7do 30 r.ż.'!C4,'7do 30 r.ż.'!C4)-1</f>
        <v>22</v>
      </c>
      <c r="C5" s="5" t="str">
        <f>INDEX('7do 30 r.ż.'!B3:G28,MATCH(2,B4:B29,0),1)</f>
        <v>Tarnobrzeg</v>
      </c>
      <c r="D5" s="6">
        <f>INDEX('7do 30 r.ż.'!B3:G28,MATCH(2,B4:B29,0),2)</f>
        <v>217</v>
      </c>
      <c r="E5" s="61">
        <f>INDEX('7do 30 r.ż.'!B3:G28,MATCH(2,B4:B29,0),3)</f>
        <v>228</v>
      </c>
      <c r="F5" s="6">
        <f>INDEX('7do 30 r.ż.'!B3:G28,MATCH(2,B4:B29,0),4)</f>
        <v>-11</v>
      </c>
      <c r="G5" s="61">
        <f>INDEX('7do 30 r.ż.'!B3:G28,MATCH(2,B4:B29,0),5)</f>
        <v>209</v>
      </c>
      <c r="H5" s="6">
        <f>INDEX('7do 30 r.ż.'!B3:G28,MATCH(2,B4:B29,0),6)</f>
        <v>8</v>
      </c>
    </row>
    <row r="6" spans="2:8" x14ac:dyDescent="0.2">
      <c r="B6" s="6">
        <f>RANK('7do 30 r.ż.'!C5,'7do 30 r.ż.'!$C$3:'7do 30 r.ż.'!$C$28,1)+COUNTIF('7do 30 r.ż.'!$C$3:'7do 30 r.ż.'!C5,'7do 30 r.ż.'!C5)-1</f>
        <v>12</v>
      </c>
      <c r="C6" s="5" t="str">
        <f>INDEX('7do 30 r.ż.'!B3:G28,MATCH(3,B4:B29,0),1)</f>
        <v>bieszczadzki</v>
      </c>
      <c r="D6" s="6">
        <f>INDEX('7do 30 r.ż.'!B3:G28,MATCH(3,B4:B29,0),2)</f>
        <v>279</v>
      </c>
      <c r="E6" s="61">
        <f>INDEX('7do 30 r.ż.'!B3:G28,MATCH(3,B4:B29,0),3)</f>
        <v>271</v>
      </c>
      <c r="F6" s="6">
        <f>INDEX('7do 30 r.ż.'!B3:G28,MATCH(3,B4:B29,0),4)</f>
        <v>8</v>
      </c>
      <c r="G6" s="61">
        <f>INDEX('7do 30 r.ż.'!B3:G28,MATCH(3,B4:B29,0),5)</f>
        <v>299</v>
      </c>
      <c r="H6" s="6">
        <f>INDEX('7do 30 r.ż.'!B3:G28,MATCH(3,B4:B29,0),6)</f>
        <v>-20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334</v>
      </c>
      <c r="E7" s="61">
        <f>INDEX('7do 30 r.ż.'!B3:G28,MATCH(4,B4:B29,0),3)</f>
        <v>322</v>
      </c>
      <c r="F7" s="6">
        <f>INDEX('7do 30 r.ż.'!B3:G28,MATCH(4,B4:B29,0),4)</f>
        <v>12</v>
      </c>
      <c r="G7" s="61">
        <f>INDEX('7do 30 r.ż.'!B3:G28,MATCH(4,B4:B29,0),5)</f>
        <v>332</v>
      </c>
      <c r="H7" s="6">
        <f>INDEX('7do 30 r.ż.'!B3:G28,MATCH(4,B4:B29,0),6)</f>
        <v>2</v>
      </c>
    </row>
    <row r="8" spans="2:8" x14ac:dyDescent="0.2">
      <c r="B8" s="6">
        <f>RANK('7do 30 r.ż.'!C7,'7do 30 r.ż.'!$C$3:'7do 30 r.ż.'!$C$28,1)+COUNTIF('7do 30 r.ż.'!$C$3:'7do 30 r.ż.'!C7,'7do 30 r.ż.'!C7)-1</f>
        <v>25</v>
      </c>
      <c r="C8" s="5" t="str">
        <f>INDEX('7do 30 r.ż.'!B3:G28,MATCH(5,B4:B29,0),1)</f>
        <v>Przemyśl</v>
      </c>
      <c r="D8" s="6">
        <f>INDEX('7do 30 r.ż.'!B3:G28,MATCH(5,B4:B29,0),2)</f>
        <v>400</v>
      </c>
      <c r="E8" s="61">
        <f>INDEX('7do 30 r.ż.'!B3:G28,MATCH(5,B4:B29,0),3)</f>
        <v>408</v>
      </c>
      <c r="F8" s="6">
        <f>INDEX('7do 30 r.ż.'!B3:G28,MATCH(5,B4:B29,0),4)</f>
        <v>-8</v>
      </c>
      <c r="G8" s="61">
        <f>INDEX('7do 30 r.ż.'!B3:G28,MATCH(5,B4:B29,0),5)</f>
        <v>418</v>
      </c>
      <c r="H8" s="6">
        <f>INDEX('7do 30 r.ż.'!B3:G28,MATCH(5,B4:B29,0),6)</f>
        <v>-18</v>
      </c>
    </row>
    <row r="9" spans="2:8" x14ac:dyDescent="0.2">
      <c r="B9" s="6">
        <f>RANK('7do 30 r.ż.'!C8,'7do 30 r.ż.'!$C$3:'7do 30 r.ż.'!$C$28,1)+COUNTIF('7do 30 r.ż.'!$C$3:'7do 30 r.ż.'!C8,'7do 30 r.ż.'!C8)-1</f>
        <v>7</v>
      </c>
      <c r="C9" s="5" t="str">
        <f>INDEX('7do 30 r.ż.'!B3:G28,MATCH(6,B4:B29,0),1)</f>
        <v>leski</v>
      </c>
      <c r="D9" s="6">
        <f>INDEX('7do 30 r.ż.'!B3:G28,MATCH(6,B4:B29,0),2)</f>
        <v>420</v>
      </c>
      <c r="E9" s="61">
        <f>INDEX('7do 30 r.ż.'!B3:G28,MATCH(6,B4:B29,0),3)</f>
        <v>406</v>
      </c>
      <c r="F9" s="6">
        <f>INDEX('7do 30 r.ż.'!B3:G28,MATCH(6,B4:B29,0),4)</f>
        <v>14</v>
      </c>
      <c r="G9" s="61">
        <f>INDEX('7do 30 r.ż.'!B3:G28,MATCH(6,B4:B29,0),5)</f>
        <v>441</v>
      </c>
      <c r="H9" s="6">
        <f>INDEX('7do 30 r.ż.'!B3:G28,MATCH(6,B4:B29,0),6)</f>
        <v>-21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kolbuszowski</v>
      </c>
      <c r="D10" s="6">
        <f>INDEX('7do 30 r.ż.'!B3:G28,MATCH(7,B4:B29,0),2)</f>
        <v>425</v>
      </c>
      <c r="E10" s="61">
        <f>INDEX('7do 30 r.ż.'!B3:G28,MATCH(7,B4:B29,0),3)</f>
        <v>415</v>
      </c>
      <c r="F10" s="6">
        <f>INDEX('7do 30 r.ż.'!B3:G28,MATCH(7,B4:B29,0),4)</f>
        <v>10</v>
      </c>
      <c r="G10" s="61">
        <f>INDEX('7do 30 r.ż.'!B3:G28,MATCH(7,B4:B29,0),5)</f>
        <v>439</v>
      </c>
      <c r="H10" s="6">
        <f>INDEX('7do 30 r.ż.'!B3:G28,MATCH(7,B4:B29,0),6)</f>
        <v>-14</v>
      </c>
    </row>
    <row r="11" spans="2:8" x14ac:dyDescent="0.2">
      <c r="B11" s="6">
        <f>RANK('7do 30 r.ż.'!C10,'7do 30 r.ż.'!$C$3:'7do 30 r.ż.'!$C$28,1)+COUNTIF('7do 30 r.ż.'!$C$3:'7do 30 r.ż.'!C10,'7do 30 r.ż.'!C10)-1</f>
        <v>6</v>
      </c>
      <c r="C11" s="5" t="str">
        <f>INDEX('7do 30 r.ż.'!B3:G28,MATCH(8,B4:B29,0),1)</f>
        <v>lubaczowski</v>
      </c>
      <c r="D11" s="6">
        <f>INDEX('7do 30 r.ż.'!B3:G28,MATCH(8,B4:B29,0),2)</f>
        <v>516</v>
      </c>
      <c r="E11" s="61">
        <f>INDEX('7do 30 r.ż.'!B3:G28,MATCH(8,B4:B29,0),3)</f>
        <v>483</v>
      </c>
      <c r="F11" s="6">
        <f>INDEX('7do 30 r.ż.'!B3:G28,MATCH(8,B4:B29,0),4)</f>
        <v>33</v>
      </c>
      <c r="G11" s="61">
        <f>INDEX('7do 30 r.ż.'!B3:G28,MATCH(8,B4:B29,0),5)</f>
        <v>516</v>
      </c>
      <c r="H11" s="6">
        <f>INDEX('7do 30 r.ż.'!B3:G28,MATCH(8,B4:B29,0),6)</f>
        <v>0</v>
      </c>
    </row>
    <row r="12" spans="2:8" x14ac:dyDescent="0.2">
      <c r="B12" s="6">
        <f>RANK('7do 30 r.ż.'!C11,'7do 30 r.ż.'!$C$3:'7do 30 r.ż.'!$C$28,1)+COUNTIF('7do 30 r.ż.'!$C$3:'7do 30 r.ż.'!C11,'7do 30 r.ż.'!C11)-1</f>
        <v>19</v>
      </c>
      <c r="C12" s="5" t="str">
        <f>INDEX('7do 30 r.ż.'!B3:G28,MATCH(9,B4:B29,0),1)</f>
        <v>stalowowolski</v>
      </c>
      <c r="D12" s="6">
        <f>INDEX('7do 30 r.ż.'!B3:G28,MATCH(9,B4:B29,0),2)</f>
        <v>534</v>
      </c>
      <c r="E12" s="61">
        <f>INDEX('7do 30 r.ż.'!B3:G28,MATCH(9,B4:B29,0),3)</f>
        <v>536</v>
      </c>
      <c r="F12" s="6">
        <f>INDEX('7do 30 r.ż.'!B3:G28,MATCH(9,B4:B29,0),4)</f>
        <v>-2</v>
      </c>
      <c r="G12" s="61">
        <f>INDEX('7do 30 r.ż.'!B3:G28,MATCH(9,B4:B29,0),5)</f>
        <v>479</v>
      </c>
      <c r="H12" s="6">
        <f>INDEX('7do 30 r.ż.'!B3:G28,MATCH(9,B4:B29,0),6)</f>
        <v>55</v>
      </c>
    </row>
    <row r="13" spans="2:8" x14ac:dyDescent="0.2">
      <c r="B13" s="6">
        <f>RANK('7do 30 r.ż.'!C12,'7do 30 r.ż.'!$C$3:'7do 30 r.ż.'!$C$28,1)+COUNTIF('7do 30 r.ż.'!$C$3:'7do 30 r.ż.'!C12,'7do 30 r.ż.'!C12)-1</f>
        <v>8</v>
      </c>
      <c r="C13" s="5" t="str">
        <f>INDEX('7do 30 r.ż.'!B3:G28,MATCH(10,B4:B29,0),1)</f>
        <v>krośnieński</v>
      </c>
      <c r="D13" s="6">
        <f>INDEX('7do 30 r.ż.'!B3:G28,MATCH(10,B4:B29,0),2)</f>
        <v>607</v>
      </c>
      <c r="E13" s="61">
        <f>INDEX('7do 30 r.ż.'!B3:G28,MATCH(10,B4:B29,0),3)</f>
        <v>571</v>
      </c>
      <c r="F13" s="6">
        <f>INDEX('7do 30 r.ż.'!B3:G28,MATCH(10,B4:B29,0),4)</f>
        <v>36</v>
      </c>
      <c r="G13" s="61">
        <f>INDEX('7do 30 r.ż.'!B3:G28,MATCH(10,B4:B29,0),5)</f>
        <v>492</v>
      </c>
      <c r="H13" s="6">
        <f>INDEX('7do 30 r.ż.'!B3:G28,MATCH(10,B4:B29,0),6)</f>
        <v>115</v>
      </c>
    </row>
    <row r="14" spans="2:8" x14ac:dyDescent="0.2">
      <c r="B14" s="6">
        <f>RANK('7do 30 r.ż.'!C13,'7do 30 r.ż.'!$C$3:'7do 30 r.ż.'!$C$28,1)+COUNTIF('7do 30 r.ż.'!$C$3:'7do 30 r.ż.'!C13,'7do 30 r.ż.'!C13)-1</f>
        <v>11</v>
      </c>
      <c r="C14" s="5" t="str">
        <f>INDEX('7do 30 r.ż.'!B3:G28,MATCH(11,B4:B29,0),1)</f>
        <v>łańcucki</v>
      </c>
      <c r="D14" s="6">
        <f>INDEX('7do 30 r.ż.'!B3:G28,MATCH(11,B4:B29,0),2)</f>
        <v>686</v>
      </c>
      <c r="E14" s="61">
        <f>INDEX('7do 30 r.ż.'!B3:G28,MATCH(11,B4:B29,0),3)</f>
        <v>673</v>
      </c>
      <c r="F14" s="6">
        <f>INDEX('7do 30 r.ż.'!B3:G28,MATCH(11,B4:B29,0),4)</f>
        <v>13</v>
      </c>
      <c r="G14" s="61">
        <f>INDEX('7do 30 r.ż.'!B3:G28,MATCH(11,B4:B29,0),5)</f>
        <v>762</v>
      </c>
      <c r="H14" s="6">
        <f>INDEX('7do 30 r.ż.'!B3:G28,MATCH(11,B4:B29,0),6)</f>
        <v>-76</v>
      </c>
    </row>
    <row r="15" spans="2:8" x14ac:dyDescent="0.2">
      <c r="B15" s="6">
        <f>RANK('7do 30 r.ż.'!C14,'7do 30 r.ż.'!$C$3:'7do 30 r.ż.'!$C$28,1)+COUNTIF('7do 30 r.ż.'!$C$3:'7do 30 r.ż.'!C14,'7do 30 r.ż.'!C14)-1</f>
        <v>16</v>
      </c>
      <c r="C15" s="5" t="str">
        <f>INDEX('7do 30 r.ż.'!B3:G28,MATCH(12,B4:B29,0),1)</f>
        <v>dębicki</v>
      </c>
      <c r="D15" s="6">
        <f>INDEX('7do 30 r.ż.'!B3:G28,MATCH(12,B4:B29,0),2)</f>
        <v>703</v>
      </c>
      <c r="E15" s="61">
        <f>INDEX('7do 30 r.ż.'!B3:G28,MATCH(12,B4:B29,0),3)</f>
        <v>708</v>
      </c>
      <c r="F15" s="6">
        <f>INDEX('7do 30 r.ż.'!B3:G28,MATCH(12,B4:B29,0),4)</f>
        <v>-5</v>
      </c>
      <c r="G15" s="61">
        <f>INDEX('7do 30 r.ż.'!B3:G28,MATCH(12,B4:B29,0),5)</f>
        <v>736</v>
      </c>
      <c r="H15" s="6">
        <f>INDEX('7do 30 r.ż.'!B3:G28,MATCH(12,B4:B29,0),6)</f>
        <v>-33</v>
      </c>
    </row>
    <row r="16" spans="2:8" x14ac:dyDescent="0.2">
      <c r="B16" s="6">
        <f>RANK('7do 30 r.ż.'!C15,'7do 30 r.ż.'!$C$3:'7do 30 r.ż.'!$C$28,1)+COUNTIF('7do 30 r.ż.'!$C$3:'7do 30 r.ż.'!C15,'7do 30 r.ż.'!C15)-1</f>
        <v>17</v>
      </c>
      <c r="C16" s="5" t="str">
        <f>INDEX('7do 30 r.ż.'!B3:G28,MATCH(13,B4:B29,0),1)</f>
        <v>ropczycko-sędziszowski</v>
      </c>
      <c r="D16" s="6">
        <f>INDEX('7do 30 r.ż.'!B3:G28,MATCH(13,B4:B29,0),2)</f>
        <v>713</v>
      </c>
      <c r="E16" s="61">
        <f>INDEX('7do 30 r.ż.'!B3:G28,MATCH(13,B4:B29,0),3)</f>
        <v>770</v>
      </c>
      <c r="F16" s="6">
        <f>INDEX('7do 30 r.ż.'!B3:G28,MATCH(13,B4:B29,0),4)</f>
        <v>-57</v>
      </c>
      <c r="G16" s="61">
        <f>INDEX('7do 30 r.ż.'!B3:G28,MATCH(13,B4:B29,0),5)</f>
        <v>792</v>
      </c>
      <c r="H16" s="6">
        <f>INDEX('7do 30 r.ż.'!B3:G28,MATCH(13,B4:B29,0),6)</f>
        <v>-79</v>
      </c>
    </row>
    <row r="17" spans="2:8" x14ac:dyDescent="0.2">
      <c r="B17" s="6">
        <f>RANK('7do 30 r.ż.'!C16,'7do 30 r.ż.'!$C$3:'7do 30 r.ż.'!$C$28,1)+COUNTIF('7do 30 r.ż.'!$C$3:'7do 30 r.ż.'!C16,'7do 30 r.ż.'!C16)-1</f>
        <v>15</v>
      </c>
      <c r="C17" s="5" t="str">
        <f>INDEX('7do 30 r.ż.'!B3:G28,MATCH(14,B4:B29,0),1)</f>
        <v>sanocki</v>
      </c>
      <c r="D17" s="6">
        <f>INDEX('7do 30 r.ż.'!B3:G28,MATCH(14,B4:B29,0),2)</f>
        <v>741</v>
      </c>
      <c r="E17" s="61">
        <f>INDEX('7do 30 r.ż.'!B3:G28,MATCH(14,B4:B29,0),3)</f>
        <v>723</v>
      </c>
      <c r="F17" s="6">
        <f>INDEX('7do 30 r.ż.'!B3:G28,MATCH(14,B4:B29,0),4)</f>
        <v>18</v>
      </c>
      <c r="G17" s="61">
        <f>INDEX('7do 30 r.ż.'!B3:G28,MATCH(14,B4:B29,0),5)</f>
        <v>744</v>
      </c>
      <c r="H17" s="6">
        <f>INDEX('7do 30 r.ż.'!B3:G28,MATCH(14,B4:B29,0),6)</f>
        <v>-3</v>
      </c>
    </row>
    <row r="18" spans="2:8" x14ac:dyDescent="0.2">
      <c r="B18" s="6">
        <f>RANK('7do 30 r.ż.'!C17,'7do 30 r.ż.'!$C$3:'7do 30 r.ż.'!$C$28,1)+COUNTIF('7do 30 r.ż.'!$C$3:'7do 30 r.ż.'!C17,'7do 30 r.ż.'!C17)-1</f>
        <v>20</v>
      </c>
      <c r="C18" s="5" t="str">
        <f>INDEX('7do 30 r.ż.'!B3:G28,MATCH(15,B4:B29,0),1)</f>
        <v>przemyski</v>
      </c>
      <c r="D18" s="6">
        <f>INDEX('7do 30 r.ż.'!B3:G28,MATCH(15,B4:B29,0),2)</f>
        <v>798</v>
      </c>
      <c r="E18" s="61">
        <f>INDEX('7do 30 r.ż.'!B3:G28,MATCH(15,B4:B29,0),3)</f>
        <v>779</v>
      </c>
      <c r="F18" s="6">
        <f>INDEX('7do 30 r.ż.'!B3:G28,MATCH(15,B4:B29,0),4)</f>
        <v>19</v>
      </c>
      <c r="G18" s="61">
        <f>INDEX('7do 30 r.ż.'!B3:G28,MATCH(15,B4:B29,0),5)</f>
        <v>787</v>
      </c>
      <c r="H18" s="6">
        <f>INDEX('7do 30 r.ż.'!B3:G28,MATCH(15,B4:B29,0),6)</f>
        <v>11</v>
      </c>
    </row>
    <row r="19" spans="2:8" x14ac:dyDescent="0.2">
      <c r="B19" s="6">
        <f>RANK('7do 30 r.ż.'!C18,'7do 30 r.ż.'!$C$3:'7do 30 r.ż.'!$C$28,1)+COUNTIF('7do 30 r.ż.'!$C$3:'7do 30 r.ż.'!C18,'7do 30 r.ż.'!C18)-1</f>
        <v>13</v>
      </c>
      <c r="C19" s="5" t="str">
        <f>INDEX('7do 30 r.ż.'!B3:G28,MATCH(16,B4:B29,0),1)</f>
        <v>mielecki</v>
      </c>
      <c r="D19" s="6">
        <f>INDEX('7do 30 r.ż.'!B3:G28,MATCH(16,B4:B29,0),2)</f>
        <v>801</v>
      </c>
      <c r="E19" s="61">
        <f>INDEX('7do 30 r.ż.'!B3:G28,MATCH(16,B4:B29,0),3)</f>
        <v>786</v>
      </c>
      <c r="F19" s="6">
        <f>INDEX('7do 30 r.ż.'!B3:G28,MATCH(16,B4:B29,0),4)</f>
        <v>15</v>
      </c>
      <c r="G19" s="61">
        <f>INDEX('7do 30 r.ż.'!B3:G28,MATCH(16,B4:B29,0),5)</f>
        <v>687</v>
      </c>
      <c r="H19" s="6">
        <f>INDEX('7do 30 r.ż.'!B3:G28,MATCH(16,B4:B29,0),6)</f>
        <v>114</v>
      </c>
    </row>
    <row r="20" spans="2:8" x14ac:dyDescent="0.2">
      <c r="B20" s="6">
        <f>RANK('7do 30 r.ż.'!C19,'7do 30 r.ż.'!$C$3:'7do 30 r.ż.'!$C$28,1)+COUNTIF('7do 30 r.ż.'!$C$3:'7do 30 r.ż.'!C19,'7do 30 r.ż.'!C19)-1</f>
        <v>24</v>
      </c>
      <c r="C20" s="5" t="str">
        <f>INDEX('7do 30 r.ż.'!B3:G28,MATCH(17,B4:B29,0),1)</f>
        <v>niżański</v>
      </c>
      <c r="D20" s="6">
        <f>INDEX('7do 30 r.ż.'!B3:G28,MATCH(17,B4:B29,0),2)</f>
        <v>815</v>
      </c>
      <c r="E20" s="61">
        <f>INDEX('7do 30 r.ż.'!B3:G28,MATCH(17,B4:B29,0),3)</f>
        <v>814</v>
      </c>
      <c r="F20" s="6">
        <f>INDEX('7do 30 r.ż.'!B3:G28,MATCH(17,B4:B29,0),4)</f>
        <v>1</v>
      </c>
      <c r="G20" s="61">
        <f>INDEX('7do 30 r.ż.'!B3:G28,MATCH(17,B4:B29,0),5)</f>
        <v>848</v>
      </c>
      <c r="H20" s="6">
        <f>INDEX('7do 30 r.ż.'!B3:G28,MATCH(17,B4:B29,0),6)</f>
        <v>-33</v>
      </c>
    </row>
    <row r="21" spans="2:8" x14ac:dyDescent="0.2">
      <c r="B21" s="6">
        <f>RANK('7do 30 r.ż.'!C20,'7do 30 r.ż.'!$C$3:'7do 30 r.ż.'!$C$28,1)+COUNTIF('7do 30 r.ż.'!$C$3:'7do 30 r.ż.'!C20,'7do 30 r.ż.'!C20)-1</f>
        <v>14</v>
      </c>
      <c r="C21" s="5" t="str">
        <f>INDEX('7do 30 r.ż.'!B3:G28,MATCH(18,B4:B29,0),1)</f>
        <v>strzyżowski</v>
      </c>
      <c r="D21" s="6">
        <f>INDEX('7do 30 r.ż.'!B3:G28,MATCH(18,B4:B29,0),2)</f>
        <v>853</v>
      </c>
      <c r="E21" s="61">
        <f>INDEX('7do 30 r.ż.'!B3:G28,MATCH(18,B4:B29,0),3)</f>
        <v>819</v>
      </c>
      <c r="F21" s="6">
        <f>INDEX('7do 30 r.ż.'!B3:G28,MATCH(18,B4:B29,0),4)</f>
        <v>34</v>
      </c>
      <c r="G21" s="61">
        <f>INDEX('7do 30 r.ż.'!B3:G28,MATCH(18,B4:B29,0),5)</f>
        <v>923</v>
      </c>
      <c r="H21" s="6">
        <f>INDEX('7do 30 r.ż.'!B3:G28,MATCH(18,B4:B29,0),6)</f>
        <v>-70</v>
      </c>
    </row>
    <row r="22" spans="2:8" x14ac:dyDescent="0.2">
      <c r="B22" s="6">
        <f>RANK('7do 30 r.ż.'!C21,'7do 30 r.ż.'!$C$3:'7do 30 r.ż.'!$C$28,1)+COUNTIF('7do 30 r.ż.'!$C$3:'7do 30 r.ż.'!C21,'7do 30 r.ż.'!C21)-1</f>
        <v>9</v>
      </c>
      <c r="C22" s="5" t="str">
        <f>INDEX('7do 30 r.ż.'!B3:G28,MATCH(19,B4:B29,0),1)</f>
        <v>leżajski</v>
      </c>
      <c r="D22" s="6">
        <f>INDEX('7do 30 r.ż.'!B3:G28,MATCH(19,B4:B29,0),2)</f>
        <v>875</v>
      </c>
      <c r="E22" s="61">
        <f>INDEX('7do 30 r.ż.'!B3:G28,MATCH(19,B4:B29,0),3)</f>
        <v>850</v>
      </c>
      <c r="F22" s="6">
        <f>INDEX('7do 30 r.ż.'!B3:G28,MATCH(19,B4:B29,0),4)</f>
        <v>25</v>
      </c>
      <c r="G22" s="61">
        <f>INDEX('7do 30 r.ż.'!B3:G28,MATCH(19,B4:B29,0),5)</f>
        <v>906</v>
      </c>
      <c r="H22" s="6">
        <f>INDEX('7do 30 r.ż.'!B3:G28,MATCH(19,B4:B29,0),6)</f>
        <v>-31</v>
      </c>
    </row>
    <row r="23" spans="2:8" x14ac:dyDescent="0.2">
      <c r="B23" s="6">
        <f>RANK('7do 30 r.ż.'!C22,'7do 30 r.ż.'!$C$3:'7do 30 r.ż.'!$C$28,1)+COUNTIF('7do 30 r.ż.'!$C$3:'7do 30 r.ż.'!C22,'7do 30 r.ż.'!C22)-1</f>
        <v>18</v>
      </c>
      <c r="C23" s="5" t="str">
        <f>INDEX('7do 30 r.ż.'!B3:G28,MATCH(20,B4:B29,0),1)</f>
        <v>przeworski</v>
      </c>
      <c r="D23" s="6">
        <f>INDEX('7do 30 r.ż.'!B3:G28,MATCH(20,B4:B29,0),2)</f>
        <v>918</v>
      </c>
      <c r="E23" s="61">
        <f>INDEX('7do 30 r.ż.'!B3:G28,MATCH(20,B4:B29,0),3)</f>
        <v>907</v>
      </c>
      <c r="F23" s="6">
        <f>INDEX('7do 30 r.ż.'!B3:G28,MATCH(20,B4:B29,0),4)</f>
        <v>11</v>
      </c>
      <c r="G23" s="61">
        <f>INDEX('7do 30 r.ż.'!B3:G28,MATCH(20,B4:B29,0),5)</f>
        <v>995</v>
      </c>
      <c r="H23" s="6">
        <f>INDEX('7do 30 r.ż.'!B3:G28,MATCH(20,B4:B29,0),6)</f>
        <v>-77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Rzeszów</v>
      </c>
      <c r="D24" s="6">
        <f>INDEX('7do 30 r.ż.'!B3:G28,MATCH(21,B4:B29,0),2)</f>
        <v>927</v>
      </c>
      <c r="E24" s="61">
        <f>INDEX('7do 30 r.ż.'!B3:G28,MATCH(21,B4:B29,0),3)</f>
        <v>875</v>
      </c>
      <c r="F24" s="6">
        <f>INDEX('7do 30 r.ż.'!B3:G28,MATCH(21,B4:B29,0),4)</f>
        <v>52</v>
      </c>
      <c r="G24" s="61">
        <f>INDEX('7do 30 r.ż.'!B3:G28,MATCH(21,B4:B29,0),5)</f>
        <v>1059</v>
      </c>
      <c r="H24" s="6">
        <f>INDEX('7do 30 r.ż.'!B3:G28,MATCH(21,B4:B29,0),6)</f>
        <v>-132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brzozowski</v>
      </c>
      <c r="D25" s="6">
        <f>INDEX('7do 30 r.ż.'!B3:G28,MATCH(22,B4:B29,0),2)</f>
        <v>1015</v>
      </c>
      <c r="E25" s="61">
        <f>INDEX('7do 30 r.ż.'!B3:G28,MATCH(22,B4:B29,0),3)</f>
        <v>988</v>
      </c>
      <c r="F25" s="6">
        <f>INDEX('7do 30 r.ż.'!B3:G28,MATCH(22,B4:B29,0),4)</f>
        <v>27</v>
      </c>
      <c r="G25" s="61">
        <f>INDEX('7do 30 r.ż.'!B3:G28,MATCH(22,B4:B29,0),5)</f>
        <v>1017</v>
      </c>
      <c r="H25" s="6">
        <f>INDEX('7do 30 r.ż.'!B3:G28,MATCH(22,B4:B29,0),6)</f>
        <v>-2</v>
      </c>
    </row>
    <row r="26" spans="2:8" x14ac:dyDescent="0.2">
      <c r="B26" s="6">
        <f>RANK('7do 30 r.ż.'!C25,'7do 30 r.ż.'!$C$3:'7do 30 r.ż.'!$C$28,1)+COUNTIF('7do 30 r.ż.'!$C$3:'7do 30 r.ż.'!C25,'7do 30 r.ż.'!C25)-1</f>
        <v>5</v>
      </c>
      <c r="C26" s="5" t="str">
        <f>INDEX('7do 30 r.ż.'!B3:G28,MATCH(23,B4:B29,0),1)</f>
        <v>jarosławski</v>
      </c>
      <c r="D26" s="6">
        <f>INDEX('7do 30 r.ż.'!B3:G28,MATCH(23,B4:B29,0),2)</f>
        <v>1087</v>
      </c>
      <c r="E26" s="61">
        <f>INDEX('7do 30 r.ż.'!B3:G28,MATCH(23,B4:B29,0),3)</f>
        <v>1077</v>
      </c>
      <c r="F26" s="6">
        <f>INDEX('7do 30 r.ż.'!B3:G28,MATCH(23,B4:B29,0),4)</f>
        <v>10</v>
      </c>
      <c r="G26" s="61">
        <f>INDEX('7do 30 r.ż.'!B3:G28,MATCH(23,B4:B29,0),5)</f>
        <v>1249</v>
      </c>
      <c r="H26" s="6">
        <f>INDEX('7do 30 r.ż.'!B3:G28,MATCH(23,B4:B29,0),6)</f>
        <v>-162</v>
      </c>
    </row>
    <row r="27" spans="2:8" x14ac:dyDescent="0.2">
      <c r="B27" s="6">
        <f>RANK('7do 30 r.ż.'!C26,'7do 30 r.ż.'!$C$3:'7do 30 r.ż.'!$C$28,1)+COUNTIF('7do 30 r.ż.'!$C$3:'7do 30 r.ż.'!C26,'7do 30 r.ż.'!C26)-1</f>
        <v>21</v>
      </c>
      <c r="C27" s="5" t="str">
        <f>INDEX('7do 30 r.ż.'!B3:G28,MATCH(24,B4:B29,0),1)</f>
        <v>rzeszowski</v>
      </c>
      <c r="D27" s="6">
        <f>INDEX('7do 30 r.ż.'!B3:G28,MATCH(24,B4:B29,0),2)</f>
        <v>1250</v>
      </c>
      <c r="E27" s="61">
        <f>INDEX('7do 30 r.ż.'!B3:G28,MATCH(24,B4:B29,0),3)</f>
        <v>1219</v>
      </c>
      <c r="F27" s="6">
        <f>INDEX('7do 30 r.ż.'!B3:G28,MATCH(24,B4:B29,0),4)</f>
        <v>31</v>
      </c>
      <c r="G27" s="61">
        <f>INDEX('7do 30 r.ż.'!B3:G28,MATCH(24,B4:B29,0),5)</f>
        <v>1346</v>
      </c>
      <c r="H27" s="6">
        <f>INDEX('7do 30 r.ż.'!B3:G28,MATCH(24,B4:B29,0),6)</f>
        <v>-96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jasielski</v>
      </c>
      <c r="D28" s="6">
        <f>INDEX('7do 30 r.ż.'!B3:G28,MATCH(25,B4:B29,0),2)</f>
        <v>1304</v>
      </c>
      <c r="E28" s="61">
        <f>INDEX('7do 30 r.ż.'!B3:G28,MATCH(25,B4:B29,0),3)</f>
        <v>1250</v>
      </c>
      <c r="F28" s="6">
        <f>INDEX('7do 30 r.ż.'!B3:G28,MATCH(25,B4:B29,0),4)</f>
        <v>54</v>
      </c>
      <c r="G28" s="61">
        <f>INDEX('7do 30 r.ż.'!B3:G28,MATCH(25,B4:B29,0),5)</f>
        <v>1211</v>
      </c>
      <c r="H28" s="6">
        <f>INDEX('7do 30 r.ż.'!B3:G28,MATCH(25,B4:B29,0),6)</f>
        <v>93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17366</v>
      </c>
      <c r="E29" s="63">
        <f>INDEX('7do 30 r.ż.'!B3:G28,MATCH(26,B4:B29,0),3)</f>
        <v>17014</v>
      </c>
      <c r="F29" s="59">
        <f>INDEX('7do 30 r.ż.'!B3:G28,MATCH(26,B4:B29,0),4)</f>
        <v>352</v>
      </c>
      <c r="G29" s="63">
        <f>INDEX('7do 30 r.ż.'!B3:G28,MATCH(26,B4:B29,0),5)</f>
        <v>17808</v>
      </c>
      <c r="H29" s="59">
        <f>INDEX('7do 30 r.ż.'!B3:G28,MATCH(26,B4:B29,0),6)</f>
        <v>-442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28515625" style="3" customWidth="1"/>
    <col min="3" max="3" width="14.7109375" style="3" customWidth="1"/>
    <col min="4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6384" width="9.140625" style="3"/>
  </cols>
  <sheetData>
    <row r="1" spans="2:8" ht="17.25" customHeight="1" x14ac:dyDescent="0.2">
      <c r="B1" s="1" t="s">
        <v>82</v>
      </c>
      <c r="C1" s="46"/>
      <c r="D1" s="46"/>
      <c r="E1" s="46"/>
      <c r="F1" s="46"/>
      <c r="G1" s="46"/>
    </row>
    <row r="2" spans="2:8" ht="57.75" x14ac:dyDescent="0.2">
      <c r="B2" s="55" t="s">
        <v>27</v>
      </c>
      <c r="C2" s="56" t="s">
        <v>147</v>
      </c>
      <c r="D2" s="57" t="s">
        <v>146</v>
      </c>
      <c r="E2" s="56" t="s">
        <v>28</v>
      </c>
      <c r="F2" s="57" t="s">
        <v>148</v>
      </c>
      <c r="G2" s="56" t="s">
        <v>26</v>
      </c>
    </row>
    <row r="3" spans="2:8" x14ac:dyDescent="0.2">
      <c r="B3" s="5" t="s">
        <v>0</v>
      </c>
      <c r="C3" s="45">
        <v>234</v>
      </c>
      <c r="D3" s="61">
        <v>229</v>
      </c>
      <c r="E3" s="45">
        <f t="shared" ref="E3:E27" si="0">SUM(C3)-D3</f>
        <v>5</v>
      </c>
      <c r="F3" s="61">
        <v>258</v>
      </c>
      <c r="G3" s="45">
        <f t="shared" ref="G3:G27" si="1">SUM(C3)-F3</f>
        <v>-24</v>
      </c>
      <c r="H3" s="7"/>
    </row>
    <row r="4" spans="2:8" x14ac:dyDescent="0.2">
      <c r="B4" s="5" t="s">
        <v>1</v>
      </c>
      <c r="C4" s="45">
        <v>927</v>
      </c>
      <c r="D4" s="61">
        <v>888</v>
      </c>
      <c r="E4" s="45">
        <f t="shared" si="0"/>
        <v>39</v>
      </c>
      <c r="F4" s="61">
        <v>989</v>
      </c>
      <c r="G4" s="45">
        <f t="shared" si="1"/>
        <v>-62</v>
      </c>
      <c r="H4" s="7"/>
    </row>
    <row r="5" spans="2:8" x14ac:dyDescent="0.2">
      <c r="B5" s="5" t="s">
        <v>2</v>
      </c>
      <c r="C5" s="45">
        <v>552</v>
      </c>
      <c r="D5" s="61">
        <v>545</v>
      </c>
      <c r="E5" s="45">
        <f t="shared" si="0"/>
        <v>7</v>
      </c>
      <c r="F5" s="61">
        <v>571</v>
      </c>
      <c r="G5" s="45">
        <f t="shared" si="1"/>
        <v>-19</v>
      </c>
      <c r="H5" s="7"/>
    </row>
    <row r="6" spans="2:8" x14ac:dyDescent="0.2">
      <c r="B6" s="5" t="s">
        <v>3</v>
      </c>
      <c r="C6" s="45">
        <v>1011</v>
      </c>
      <c r="D6" s="61">
        <v>1015</v>
      </c>
      <c r="E6" s="45">
        <f t="shared" si="0"/>
        <v>-4</v>
      </c>
      <c r="F6" s="61">
        <v>1109</v>
      </c>
      <c r="G6" s="45">
        <f t="shared" si="1"/>
        <v>-98</v>
      </c>
      <c r="H6" s="7"/>
    </row>
    <row r="7" spans="2:8" x14ac:dyDescent="0.2">
      <c r="B7" s="5" t="s">
        <v>4</v>
      </c>
      <c r="C7" s="45">
        <v>1128</v>
      </c>
      <c r="D7" s="61">
        <v>1097</v>
      </c>
      <c r="E7" s="45">
        <f t="shared" si="0"/>
        <v>31</v>
      </c>
      <c r="F7" s="61">
        <v>1149</v>
      </c>
      <c r="G7" s="45">
        <f t="shared" si="1"/>
        <v>-21</v>
      </c>
      <c r="H7" s="7"/>
    </row>
    <row r="8" spans="2:8" x14ac:dyDescent="0.2">
      <c r="B8" s="5" t="s">
        <v>5</v>
      </c>
      <c r="C8" s="45">
        <v>381</v>
      </c>
      <c r="D8" s="61">
        <v>385</v>
      </c>
      <c r="E8" s="45">
        <f t="shared" si="0"/>
        <v>-4</v>
      </c>
      <c r="F8" s="61">
        <v>436</v>
      </c>
      <c r="G8" s="45">
        <f t="shared" si="1"/>
        <v>-55</v>
      </c>
      <c r="H8" s="7"/>
    </row>
    <row r="9" spans="2:8" x14ac:dyDescent="0.2">
      <c r="B9" s="9" t="s">
        <v>6</v>
      </c>
      <c r="C9" s="45">
        <v>554</v>
      </c>
      <c r="D9" s="61">
        <v>548</v>
      </c>
      <c r="E9" s="45">
        <f t="shared" si="0"/>
        <v>6</v>
      </c>
      <c r="F9" s="61">
        <v>511</v>
      </c>
      <c r="G9" s="45">
        <f t="shared" si="1"/>
        <v>43</v>
      </c>
      <c r="H9" s="7"/>
    </row>
    <row r="10" spans="2:8" x14ac:dyDescent="0.2">
      <c r="B10" s="5" t="s">
        <v>7</v>
      </c>
      <c r="C10" s="45">
        <v>415</v>
      </c>
      <c r="D10" s="61">
        <v>381</v>
      </c>
      <c r="E10" s="45">
        <f t="shared" si="0"/>
        <v>34</v>
      </c>
      <c r="F10" s="61">
        <v>411</v>
      </c>
      <c r="G10" s="45">
        <f t="shared" si="1"/>
        <v>4</v>
      </c>
      <c r="H10" s="7"/>
    </row>
    <row r="11" spans="2:8" x14ac:dyDescent="0.2">
      <c r="B11" s="5" t="s">
        <v>8</v>
      </c>
      <c r="C11" s="45">
        <v>705</v>
      </c>
      <c r="D11" s="61">
        <v>677</v>
      </c>
      <c r="E11" s="45">
        <f t="shared" si="0"/>
        <v>28</v>
      </c>
      <c r="F11" s="61">
        <v>698</v>
      </c>
      <c r="G11" s="45">
        <f t="shared" si="1"/>
        <v>7</v>
      </c>
      <c r="H11" s="7"/>
    </row>
    <row r="12" spans="2:8" x14ac:dyDescent="0.2">
      <c r="B12" s="5" t="s">
        <v>9</v>
      </c>
      <c r="C12" s="45">
        <v>491</v>
      </c>
      <c r="D12" s="61">
        <v>457</v>
      </c>
      <c r="E12" s="45">
        <f t="shared" si="0"/>
        <v>34</v>
      </c>
      <c r="F12" s="61">
        <v>503</v>
      </c>
      <c r="G12" s="45">
        <f t="shared" si="1"/>
        <v>-12</v>
      </c>
      <c r="H12" s="7"/>
    </row>
    <row r="13" spans="2:8" x14ac:dyDescent="0.2">
      <c r="B13" s="5" t="s">
        <v>10</v>
      </c>
      <c r="C13" s="45">
        <v>575</v>
      </c>
      <c r="D13" s="61">
        <v>551</v>
      </c>
      <c r="E13" s="45">
        <f t="shared" si="0"/>
        <v>24</v>
      </c>
      <c r="F13" s="61">
        <v>623</v>
      </c>
      <c r="G13" s="45">
        <f t="shared" si="1"/>
        <v>-48</v>
      </c>
      <c r="H13" s="7"/>
    </row>
    <row r="14" spans="2:8" x14ac:dyDescent="0.2">
      <c r="B14" s="5" t="s">
        <v>11</v>
      </c>
      <c r="C14" s="45">
        <v>742</v>
      </c>
      <c r="D14" s="61">
        <v>733</v>
      </c>
      <c r="E14" s="45">
        <f t="shared" si="0"/>
        <v>9</v>
      </c>
      <c r="F14" s="61">
        <v>668</v>
      </c>
      <c r="G14" s="45">
        <f t="shared" si="1"/>
        <v>74</v>
      </c>
      <c r="H14" s="7"/>
    </row>
    <row r="15" spans="2:8" x14ac:dyDescent="0.2">
      <c r="B15" s="5" t="s">
        <v>12</v>
      </c>
      <c r="C15" s="45">
        <v>703</v>
      </c>
      <c r="D15" s="61">
        <v>697</v>
      </c>
      <c r="E15" s="45">
        <f t="shared" si="0"/>
        <v>6</v>
      </c>
      <c r="F15" s="61">
        <v>754</v>
      </c>
      <c r="G15" s="45">
        <f t="shared" si="1"/>
        <v>-51</v>
      </c>
      <c r="H15" s="7"/>
    </row>
    <row r="16" spans="2:8" x14ac:dyDescent="0.2">
      <c r="B16" s="5" t="s">
        <v>13</v>
      </c>
      <c r="C16" s="45">
        <v>701</v>
      </c>
      <c r="D16" s="61">
        <v>700</v>
      </c>
      <c r="E16" s="45">
        <f t="shared" si="0"/>
        <v>1</v>
      </c>
      <c r="F16" s="61">
        <v>727</v>
      </c>
      <c r="G16" s="45">
        <f t="shared" si="1"/>
        <v>-26</v>
      </c>
      <c r="H16" s="7"/>
    </row>
    <row r="17" spans="2:8" x14ac:dyDescent="0.2">
      <c r="B17" s="5" t="s">
        <v>14</v>
      </c>
      <c r="C17" s="45">
        <v>698</v>
      </c>
      <c r="D17" s="61">
        <v>694</v>
      </c>
      <c r="E17" s="45">
        <f t="shared" si="0"/>
        <v>4</v>
      </c>
      <c r="F17" s="61">
        <v>715</v>
      </c>
      <c r="G17" s="45">
        <f t="shared" si="1"/>
        <v>-17</v>
      </c>
      <c r="H17" s="7"/>
    </row>
    <row r="18" spans="2:8" x14ac:dyDescent="0.2">
      <c r="B18" s="5" t="s">
        <v>15</v>
      </c>
      <c r="C18" s="45">
        <v>607</v>
      </c>
      <c r="D18" s="61">
        <v>607</v>
      </c>
      <c r="E18" s="45">
        <f t="shared" si="0"/>
        <v>0</v>
      </c>
      <c r="F18" s="61">
        <v>607</v>
      </c>
      <c r="G18" s="45">
        <f t="shared" si="1"/>
        <v>0</v>
      </c>
      <c r="H18" s="7"/>
    </row>
    <row r="19" spans="2:8" x14ac:dyDescent="0.2">
      <c r="B19" s="5" t="s">
        <v>16</v>
      </c>
      <c r="C19" s="45">
        <v>1113</v>
      </c>
      <c r="D19" s="61">
        <v>1092</v>
      </c>
      <c r="E19" s="45">
        <f t="shared" si="0"/>
        <v>21</v>
      </c>
      <c r="F19" s="61">
        <v>1236</v>
      </c>
      <c r="G19" s="45">
        <f t="shared" si="1"/>
        <v>-123</v>
      </c>
      <c r="H19" s="7"/>
    </row>
    <row r="20" spans="2:8" x14ac:dyDescent="0.2">
      <c r="B20" s="5" t="s">
        <v>17</v>
      </c>
      <c r="C20" s="45">
        <v>625</v>
      </c>
      <c r="D20" s="61">
        <v>624</v>
      </c>
      <c r="E20" s="45">
        <f t="shared" si="0"/>
        <v>1</v>
      </c>
      <c r="F20" s="61">
        <v>602</v>
      </c>
      <c r="G20" s="45">
        <f t="shared" si="1"/>
        <v>23</v>
      </c>
      <c r="H20" s="7"/>
    </row>
    <row r="21" spans="2:8" x14ac:dyDescent="0.2">
      <c r="B21" s="5" t="s">
        <v>18</v>
      </c>
      <c r="C21" s="45">
        <v>484</v>
      </c>
      <c r="D21" s="61">
        <v>479</v>
      </c>
      <c r="E21" s="45">
        <f t="shared" si="0"/>
        <v>5</v>
      </c>
      <c r="F21" s="61">
        <v>512</v>
      </c>
      <c r="G21" s="45">
        <f t="shared" si="1"/>
        <v>-28</v>
      </c>
      <c r="H21" s="7"/>
    </row>
    <row r="22" spans="2:8" x14ac:dyDescent="0.2">
      <c r="B22" s="5" t="s">
        <v>19</v>
      </c>
      <c r="C22" s="45">
        <v>704</v>
      </c>
      <c r="D22" s="61">
        <v>694</v>
      </c>
      <c r="E22" s="45">
        <f t="shared" si="0"/>
        <v>10</v>
      </c>
      <c r="F22" s="61">
        <v>763</v>
      </c>
      <c r="G22" s="45">
        <f t="shared" si="1"/>
        <v>-59</v>
      </c>
      <c r="H22" s="7"/>
    </row>
    <row r="23" spans="2:8" x14ac:dyDescent="0.2">
      <c r="B23" s="5" t="s">
        <v>20</v>
      </c>
      <c r="C23" s="45">
        <v>353</v>
      </c>
      <c r="D23" s="61">
        <v>360</v>
      </c>
      <c r="E23" s="45">
        <f t="shared" si="0"/>
        <v>-7</v>
      </c>
      <c r="F23" s="61">
        <v>360</v>
      </c>
      <c r="G23" s="45">
        <f t="shared" si="1"/>
        <v>-7</v>
      </c>
      <c r="H23" s="7"/>
    </row>
    <row r="24" spans="2:8" x14ac:dyDescent="0.2">
      <c r="B24" s="5" t="s">
        <v>21</v>
      </c>
      <c r="C24" s="45">
        <v>187</v>
      </c>
      <c r="D24" s="61">
        <v>182</v>
      </c>
      <c r="E24" s="45">
        <f t="shared" si="0"/>
        <v>5</v>
      </c>
      <c r="F24" s="61">
        <v>162</v>
      </c>
      <c r="G24" s="45">
        <f t="shared" si="1"/>
        <v>25</v>
      </c>
      <c r="H24" s="7"/>
    </row>
    <row r="25" spans="2:8" x14ac:dyDescent="0.2">
      <c r="B25" s="5" t="s">
        <v>22</v>
      </c>
      <c r="C25" s="45">
        <v>695</v>
      </c>
      <c r="D25" s="61">
        <v>677</v>
      </c>
      <c r="E25" s="45">
        <f t="shared" si="0"/>
        <v>18</v>
      </c>
      <c r="F25" s="61">
        <v>721</v>
      </c>
      <c r="G25" s="45">
        <f t="shared" si="1"/>
        <v>-26</v>
      </c>
      <c r="H25" s="7"/>
    </row>
    <row r="26" spans="2:8" x14ac:dyDescent="0.2">
      <c r="B26" s="5" t="s">
        <v>23</v>
      </c>
      <c r="C26" s="45">
        <v>1350</v>
      </c>
      <c r="D26" s="61">
        <v>1347</v>
      </c>
      <c r="E26" s="45">
        <f t="shared" si="0"/>
        <v>3</v>
      </c>
      <c r="F26" s="61">
        <v>1466</v>
      </c>
      <c r="G26" s="45">
        <f t="shared" si="1"/>
        <v>-116</v>
      </c>
      <c r="H26" s="7"/>
    </row>
    <row r="27" spans="2:8" x14ac:dyDescent="0.2">
      <c r="B27" s="5" t="s">
        <v>24</v>
      </c>
      <c r="C27" s="45">
        <v>274</v>
      </c>
      <c r="D27" s="61">
        <v>271</v>
      </c>
      <c r="E27" s="45">
        <f t="shared" si="0"/>
        <v>3</v>
      </c>
      <c r="F27" s="61">
        <v>323</v>
      </c>
      <c r="G27" s="45">
        <f t="shared" si="1"/>
        <v>-49</v>
      </c>
      <c r="H27" s="7"/>
    </row>
    <row r="28" spans="2:8" ht="15" x14ac:dyDescent="0.25">
      <c r="B28" s="58" t="s">
        <v>25</v>
      </c>
      <c r="C28" s="77">
        <f>SUM(C3:C27)</f>
        <v>16209</v>
      </c>
      <c r="D28" s="63">
        <f>SUM(D3:D27)</f>
        <v>15930</v>
      </c>
      <c r="E28" s="77">
        <f>SUM(E3:E27)</f>
        <v>279</v>
      </c>
      <c r="F28" s="63">
        <f>SUM(F3:F27)</f>
        <v>16874</v>
      </c>
      <c r="G28" s="77">
        <f>SUM(G3:G27)</f>
        <v>-665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82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T('8pow. 50 r.ż.'!B2)</f>
        <v>powiaty</v>
      </c>
      <c r="D3" s="55" t="str">
        <f>T('8pow. 50 r.ż.'!C2)</f>
        <v>liczba bezrobotnych 50+ stan na 30 XI '23 r.</v>
      </c>
      <c r="E3" s="55" t="str">
        <f>T('8pow. 50 r.ż.'!D2)</f>
        <v>liczba bezrobotnych 50+ stan na 31 X '23 r.</v>
      </c>
      <c r="F3" s="55" t="str">
        <f>T('8pow. 50 r.ż.'!E2)</f>
        <v>wzrost/spadek do poprzedniego  miesiąca</v>
      </c>
      <c r="G3" s="55" t="str">
        <f>T('8pow. 50 r.ż.'!F2)</f>
        <v>liczba bezrobotnych 50+ stan na 30 XI '22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187</v>
      </c>
      <c r="E4" s="61">
        <f>INDEX('8pow. 50 r.ż.'!B3:G28,MATCH(1,B4:B29,0),3)</f>
        <v>182</v>
      </c>
      <c r="F4" s="6">
        <f>INDEX('8pow. 50 r.ż.'!B3:G28,MATCH(1,B4:B29,0),4)</f>
        <v>5</v>
      </c>
      <c r="G4" s="61">
        <f>INDEX('8pow. 50 r.ż.'!B3:G28,MATCH(1,B4:B29,0),5)</f>
        <v>162</v>
      </c>
      <c r="H4" s="6">
        <f>INDEX('8pow. 50 r.ż.'!B3:G28,MATCH(1,B4:B29,0),6)</f>
        <v>25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234</v>
      </c>
      <c r="E5" s="61">
        <f>INDEX('8pow. 50 r.ż.'!B3:G28,MATCH(2,B4:B29,0),3)</f>
        <v>229</v>
      </c>
      <c r="F5" s="6">
        <f>INDEX('8pow. 50 r.ż.'!B3:G28,MATCH(2,B4:B29,0),4)</f>
        <v>5</v>
      </c>
      <c r="G5" s="61">
        <f>INDEX('8pow. 50 r.ż.'!B3:G28,MATCH(2,B4:B29,0),5)</f>
        <v>258</v>
      </c>
      <c r="H5" s="6">
        <f>INDEX('8pow. 50 r.ż.'!B3:G28,MATCH(2,B4:B29,0),6)</f>
        <v>-24</v>
      </c>
    </row>
    <row r="6" spans="2:8" x14ac:dyDescent="0.2">
      <c r="B6" s="6">
        <f>RANK('8pow. 50 r.ż.'!C5,'8pow. 50 r.ż.'!$C$3:'8pow. 50 r.ż.'!$C$28,1)+COUNTIF('8pow. 50 r.ż.'!$C$3:'8pow. 50 r.ż.'!C5,'8pow. 50 r.ż.'!C5)-1</f>
        <v>9</v>
      </c>
      <c r="C6" s="5" t="str">
        <f>INDEX('8pow. 50 r.ż.'!B3:G28,MATCH(3,B4:B29,0),1)</f>
        <v>Tarnobrzeg</v>
      </c>
      <c r="D6" s="6">
        <f>INDEX('8pow. 50 r.ż.'!B3:G28,MATCH(3,B4:B29,0),2)</f>
        <v>274</v>
      </c>
      <c r="E6" s="61">
        <f>INDEX('8pow. 50 r.ż.'!B3:G28,MATCH(3,B4:B29,0),3)</f>
        <v>271</v>
      </c>
      <c r="F6" s="6">
        <f>INDEX('8pow. 50 r.ż.'!B3:G28,MATCH(3,B4:B29,0),4)</f>
        <v>3</v>
      </c>
      <c r="G6" s="61">
        <f>INDEX('8pow. 50 r.ż.'!B3:G28,MATCH(3,B4:B29,0),5)</f>
        <v>323</v>
      </c>
      <c r="H6" s="6">
        <f>INDEX('8pow. 50 r.ż.'!B3:G28,MATCH(3,B4:B29,0),6)</f>
        <v>-49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353</v>
      </c>
      <c r="E7" s="61">
        <f>INDEX('8pow. 50 r.ż.'!B3:G28,MATCH(4,B4:B29,0),3)</f>
        <v>360</v>
      </c>
      <c r="F7" s="6">
        <f>INDEX('8pow. 50 r.ż.'!B3:G28,MATCH(4,B4:B29,0),4)</f>
        <v>-7</v>
      </c>
      <c r="G7" s="61">
        <f>INDEX('8pow. 50 r.ż.'!B3:G28,MATCH(4,B4:B29,0),5)</f>
        <v>360</v>
      </c>
      <c r="H7" s="6">
        <f>INDEX('8pow. 50 r.ż.'!B3:G28,MATCH(4,B4:B29,0),6)</f>
        <v>-7</v>
      </c>
    </row>
    <row r="8" spans="2:8" x14ac:dyDescent="0.2">
      <c r="B8" s="6">
        <f>RANK('8pow. 50 r.ż.'!C7,'8pow. 50 r.ż.'!$C$3:'8pow. 50 r.ż.'!$C$28,1)+COUNTIF('8pow. 50 r.ż.'!$C$3:'8pow. 50 r.ż.'!C7,'8pow. 50 r.ż.'!C7)-1</f>
        <v>24</v>
      </c>
      <c r="C8" s="5" t="str">
        <f>INDEX('8pow. 50 r.ż.'!B3:G28,MATCH(5,B4:B29,0),1)</f>
        <v>kolbuszowski</v>
      </c>
      <c r="D8" s="6">
        <f>INDEX('8pow. 50 r.ż.'!B3:G28,MATCH(5,B4:B29,0),2)</f>
        <v>381</v>
      </c>
      <c r="E8" s="61">
        <f>INDEX('8pow. 50 r.ż.'!B3:G28,MATCH(5,B4:B29,0),3)</f>
        <v>385</v>
      </c>
      <c r="F8" s="6">
        <f>INDEX('8pow. 50 r.ż.'!B3:G28,MATCH(5,B4:B29,0),4)</f>
        <v>-4</v>
      </c>
      <c r="G8" s="61">
        <f>INDEX('8pow. 50 r.ż.'!B3:G28,MATCH(5,B4:B29,0),5)</f>
        <v>436</v>
      </c>
      <c r="H8" s="6">
        <f>INDEX('8pow. 50 r.ż.'!B3:G28,MATCH(5,B4:B29,0),6)</f>
        <v>-55</v>
      </c>
    </row>
    <row r="9" spans="2:8" x14ac:dyDescent="0.2">
      <c r="B9" s="6">
        <f>RANK('8pow. 50 r.ż.'!C8,'8pow. 50 r.ż.'!$C$3:'8pow. 50 r.ż.'!$C$28,1)+COUNTIF('8pow. 50 r.ż.'!$C$3:'8pow. 50 r.ż.'!C8,'8pow. 50 r.ż.'!C8)-1</f>
        <v>5</v>
      </c>
      <c r="C9" s="5" t="str">
        <f>INDEX('8pow. 50 r.ż.'!B3:G28,MATCH(6,B4:B29,0),1)</f>
        <v>leski</v>
      </c>
      <c r="D9" s="6">
        <f>INDEX('8pow. 50 r.ż.'!B3:G28,MATCH(6,B4:B29,0),2)</f>
        <v>415</v>
      </c>
      <c r="E9" s="61">
        <f>INDEX('8pow. 50 r.ż.'!B3:G28,MATCH(6,B4:B29,0),3)</f>
        <v>381</v>
      </c>
      <c r="F9" s="6">
        <f>INDEX('8pow. 50 r.ż.'!B3:G28,MATCH(6,B4:B29,0),4)</f>
        <v>34</v>
      </c>
      <c r="G9" s="61">
        <f>INDEX('8pow. 50 r.ż.'!B3:G28,MATCH(6,B4:B29,0),5)</f>
        <v>411</v>
      </c>
      <c r="H9" s="6">
        <f>INDEX('8pow. 50 r.ż.'!B3:G28,MATCH(6,B4:B29,0),6)</f>
        <v>4</v>
      </c>
    </row>
    <row r="10" spans="2:8" x14ac:dyDescent="0.2">
      <c r="B10" s="6">
        <f>RANK('8pow. 50 r.ż.'!C9,'8pow. 50 r.ż.'!$C$3:'8pow. 50 r.ż.'!$C$28,1)+COUNTIF('8pow. 50 r.ż.'!$C$3:'8pow. 50 r.ż.'!C9,'8pow. 50 r.ż.'!C9)-1</f>
        <v>10</v>
      </c>
      <c r="C10" s="9" t="str">
        <f>INDEX('8pow. 50 r.ż.'!B3:G28,MATCH(7,B4:B29,0),1)</f>
        <v>stalowowolski</v>
      </c>
      <c r="D10" s="6">
        <f>INDEX('8pow. 50 r.ż.'!B3:G28,MATCH(7,B4:B29,0),2)</f>
        <v>484</v>
      </c>
      <c r="E10" s="61">
        <f>INDEX('8pow. 50 r.ż.'!B3:G28,MATCH(7,B4:B29,0),3)</f>
        <v>479</v>
      </c>
      <c r="F10" s="6">
        <f>INDEX('8pow. 50 r.ż.'!B3:G28,MATCH(7,B4:B29,0),4)</f>
        <v>5</v>
      </c>
      <c r="G10" s="61">
        <f>INDEX('8pow. 50 r.ż.'!B3:G28,MATCH(7,B4:B29,0),5)</f>
        <v>512</v>
      </c>
      <c r="H10" s="6">
        <f>INDEX('8pow. 50 r.ż.'!B3:G28,MATCH(7,B4:B29,0),6)</f>
        <v>-28</v>
      </c>
    </row>
    <row r="11" spans="2:8" x14ac:dyDescent="0.2">
      <c r="B11" s="6">
        <f>RANK('8pow. 50 r.ż.'!C10,'8pow. 50 r.ż.'!$C$3:'8pow. 50 r.ż.'!$C$28,1)+COUNTIF('8pow. 50 r.ż.'!$C$3:'8pow. 50 r.ż.'!C10,'8pow. 50 r.ż.'!C10)-1</f>
        <v>6</v>
      </c>
      <c r="C11" s="5" t="str">
        <f>INDEX('8pow. 50 r.ż.'!B3:G28,MATCH(8,B4:B29,0),1)</f>
        <v>lubaczowski</v>
      </c>
      <c r="D11" s="6">
        <f>INDEX('8pow. 50 r.ż.'!B3:G28,MATCH(8,B4:B29,0),2)</f>
        <v>491</v>
      </c>
      <c r="E11" s="61">
        <f>INDEX('8pow. 50 r.ż.'!B3:G28,MATCH(8,B4:B29,0),3)</f>
        <v>457</v>
      </c>
      <c r="F11" s="6">
        <f>INDEX('8pow. 50 r.ż.'!B3:G28,MATCH(8,B4:B29,0),4)</f>
        <v>34</v>
      </c>
      <c r="G11" s="61">
        <f>INDEX('8pow. 50 r.ż.'!B3:G28,MATCH(8,B4:B29,0),5)</f>
        <v>503</v>
      </c>
      <c r="H11" s="6">
        <f>INDEX('8pow. 50 r.ż.'!B3:G28,MATCH(8,B4:B29,0),6)</f>
        <v>-12</v>
      </c>
    </row>
    <row r="12" spans="2:8" x14ac:dyDescent="0.2">
      <c r="B12" s="6">
        <f>RANK('8pow. 50 r.ż.'!C11,'8pow. 50 r.ż.'!$C$3:'8pow. 50 r.ż.'!$C$28,1)+COUNTIF('8pow. 50 r.ż.'!$C$3:'8pow. 50 r.ż.'!C11,'8pow. 50 r.ż.'!C11)-1</f>
        <v>19</v>
      </c>
      <c r="C12" s="5" t="str">
        <f>INDEX('8pow. 50 r.ż.'!B3:G28,MATCH(9,B4:B29,0),1)</f>
        <v>dębicki</v>
      </c>
      <c r="D12" s="6">
        <f>INDEX('8pow. 50 r.ż.'!B3:G28,MATCH(9,B4:B29,0),2)</f>
        <v>552</v>
      </c>
      <c r="E12" s="61">
        <f>INDEX('8pow. 50 r.ż.'!B3:G28,MATCH(9,B4:B29,0),3)</f>
        <v>545</v>
      </c>
      <c r="F12" s="6">
        <f>INDEX('8pow. 50 r.ż.'!B3:G28,MATCH(9,B4:B29,0),4)</f>
        <v>7</v>
      </c>
      <c r="G12" s="61">
        <f>INDEX('8pow. 50 r.ż.'!B3:G28,MATCH(9,B4:B29,0),5)</f>
        <v>571</v>
      </c>
      <c r="H12" s="6">
        <f>INDEX('8pow. 50 r.ż.'!B3:G28,MATCH(9,B4:B29,0),6)</f>
        <v>-19</v>
      </c>
    </row>
    <row r="13" spans="2:8" x14ac:dyDescent="0.2">
      <c r="B13" s="6">
        <f>RANK('8pow. 50 r.ż.'!C12,'8pow. 50 r.ż.'!$C$3:'8pow. 50 r.ż.'!$C$28,1)+COUNTIF('8pow. 50 r.ż.'!$C$3:'8pow. 50 r.ż.'!C12,'8pow. 50 r.ż.'!C12)-1</f>
        <v>8</v>
      </c>
      <c r="C13" s="5" t="str">
        <f>INDEX('8pow. 50 r.ż.'!B3:G28,MATCH(10,B4:B29,0),1)</f>
        <v>krośnieński</v>
      </c>
      <c r="D13" s="6">
        <f>INDEX('8pow. 50 r.ż.'!B3:G28,MATCH(10,B4:B29,0),2)</f>
        <v>554</v>
      </c>
      <c r="E13" s="61">
        <f>INDEX('8pow. 50 r.ż.'!B3:G28,MATCH(10,B4:B29,0),3)</f>
        <v>548</v>
      </c>
      <c r="F13" s="6">
        <f>INDEX('8pow. 50 r.ż.'!B3:G28,MATCH(10,B4:B29,0),4)</f>
        <v>6</v>
      </c>
      <c r="G13" s="61">
        <f>INDEX('8pow. 50 r.ż.'!B3:G28,MATCH(10,B4:B29,0),5)</f>
        <v>511</v>
      </c>
      <c r="H13" s="6">
        <f>INDEX('8pow. 50 r.ż.'!B3:G28,MATCH(10,B4:B29,0),6)</f>
        <v>43</v>
      </c>
    </row>
    <row r="14" spans="2:8" x14ac:dyDescent="0.2">
      <c r="B14" s="6">
        <f>RANK('8pow. 50 r.ż.'!C13,'8pow. 50 r.ż.'!$C$3:'8pow. 50 r.ż.'!$C$28,1)+COUNTIF('8pow. 50 r.ż.'!$C$3:'8pow. 50 r.ż.'!C13,'8pow. 50 r.ż.'!C13)-1</f>
        <v>11</v>
      </c>
      <c r="C14" s="5" t="str">
        <f>INDEX('8pow. 50 r.ż.'!B3:G28,MATCH(11,B4:B29,0),1)</f>
        <v>łańcucki</v>
      </c>
      <c r="D14" s="6">
        <f>INDEX('8pow. 50 r.ż.'!B3:G28,MATCH(11,B4:B29,0),2)</f>
        <v>575</v>
      </c>
      <c r="E14" s="61">
        <f>INDEX('8pow. 50 r.ż.'!B3:G28,MATCH(11,B4:B29,0),3)</f>
        <v>551</v>
      </c>
      <c r="F14" s="6">
        <f>INDEX('8pow. 50 r.ż.'!B3:G28,MATCH(11,B4:B29,0),4)</f>
        <v>24</v>
      </c>
      <c r="G14" s="61">
        <f>INDEX('8pow. 50 r.ż.'!B3:G28,MATCH(11,B4:B29,0),5)</f>
        <v>623</v>
      </c>
      <c r="H14" s="6">
        <f>INDEX('8pow. 50 r.ż.'!B3:G28,MATCH(11,B4:B29,0),6)</f>
        <v>-48</v>
      </c>
    </row>
    <row r="15" spans="2:8" x14ac:dyDescent="0.2">
      <c r="B15" s="6">
        <f>RANK('8pow. 50 r.ż.'!C14,'8pow. 50 r.ż.'!$C$3:'8pow. 50 r.ż.'!$C$28,1)+COUNTIF('8pow. 50 r.ż.'!$C$3:'8pow. 50 r.ż.'!C14,'8pow. 50 r.ż.'!C14)-1</f>
        <v>20</v>
      </c>
      <c r="C15" s="5" t="str">
        <f>INDEX('8pow. 50 r.ż.'!B3:G28,MATCH(12,B4:B29,0),1)</f>
        <v>ropczycko-sędziszowski</v>
      </c>
      <c r="D15" s="6">
        <f>INDEX('8pow. 50 r.ż.'!B3:G28,MATCH(12,B4:B29,0),2)</f>
        <v>607</v>
      </c>
      <c r="E15" s="61">
        <f>INDEX('8pow. 50 r.ż.'!B3:G28,MATCH(12,B4:B29,0),3)</f>
        <v>607</v>
      </c>
      <c r="F15" s="6">
        <f>INDEX('8pow. 50 r.ż.'!B3:G28,MATCH(12,B4:B29,0),4)</f>
        <v>0</v>
      </c>
      <c r="G15" s="61">
        <f>INDEX('8pow. 50 r.ż.'!B3:G28,MATCH(12,B4:B29,0),5)</f>
        <v>607</v>
      </c>
      <c r="H15" s="6">
        <f>INDEX('8pow. 50 r.ż.'!B3:G28,MATCH(12,B4:B29,0),6)</f>
        <v>0</v>
      </c>
    </row>
    <row r="16" spans="2:8" x14ac:dyDescent="0.2">
      <c r="B16" s="6">
        <f>RANK('8pow. 50 r.ż.'!C15,'8pow. 50 r.ż.'!$C$3:'8pow. 50 r.ż.'!$C$28,1)+COUNTIF('8pow. 50 r.ż.'!$C$3:'8pow. 50 r.ż.'!C15,'8pow. 50 r.ż.'!C15)-1</f>
        <v>17</v>
      </c>
      <c r="C16" s="5" t="str">
        <f>INDEX('8pow. 50 r.ż.'!B3:G28,MATCH(13,B4:B29,0),1)</f>
        <v>sanocki</v>
      </c>
      <c r="D16" s="6">
        <f>INDEX('8pow. 50 r.ż.'!B3:G28,MATCH(13,B4:B29,0),2)</f>
        <v>625</v>
      </c>
      <c r="E16" s="61">
        <f>INDEX('8pow. 50 r.ż.'!B3:G28,MATCH(13,B4:B29,0),3)</f>
        <v>624</v>
      </c>
      <c r="F16" s="6">
        <f>INDEX('8pow. 50 r.ż.'!B3:G28,MATCH(13,B4:B29,0),4)</f>
        <v>1</v>
      </c>
      <c r="G16" s="61">
        <f>INDEX('8pow. 50 r.ż.'!B3:G28,MATCH(13,B4:B29,0),5)</f>
        <v>602</v>
      </c>
      <c r="H16" s="6">
        <f>INDEX('8pow. 50 r.ż.'!B3:G28,MATCH(13,B4:B29,0),6)</f>
        <v>23</v>
      </c>
    </row>
    <row r="17" spans="2:8" x14ac:dyDescent="0.2">
      <c r="B17" s="6">
        <f>RANK('8pow. 50 r.ż.'!C16,'8pow. 50 r.ż.'!$C$3:'8pow. 50 r.ż.'!$C$28,1)+COUNTIF('8pow. 50 r.ż.'!$C$3:'8pow. 50 r.ż.'!C16,'8pow. 50 r.ż.'!C16)-1</f>
        <v>16</v>
      </c>
      <c r="C17" s="5" t="str">
        <f>INDEX('8pow. 50 r.ż.'!B3:G28,MATCH(14,B4:B29,0),1)</f>
        <v>Przemyśl</v>
      </c>
      <c r="D17" s="6">
        <f>INDEX('8pow. 50 r.ż.'!B3:G28,MATCH(14,B4:B29,0),2)</f>
        <v>695</v>
      </c>
      <c r="E17" s="61">
        <f>INDEX('8pow. 50 r.ż.'!B3:G28,MATCH(14,B4:B29,0),3)</f>
        <v>677</v>
      </c>
      <c r="F17" s="6">
        <f>INDEX('8pow. 50 r.ż.'!B3:G28,MATCH(14,B4:B29,0),4)</f>
        <v>18</v>
      </c>
      <c r="G17" s="61">
        <f>INDEX('8pow. 50 r.ż.'!B3:G28,MATCH(14,B4:B29,0),5)</f>
        <v>721</v>
      </c>
      <c r="H17" s="6">
        <f>INDEX('8pow. 50 r.ż.'!B3:G28,MATCH(14,B4:B29,0),6)</f>
        <v>-26</v>
      </c>
    </row>
    <row r="18" spans="2:8" x14ac:dyDescent="0.2">
      <c r="B18" s="6">
        <f>RANK('8pow. 50 r.ż.'!C17,'8pow. 50 r.ż.'!$C$3:'8pow. 50 r.ż.'!$C$28,1)+COUNTIF('8pow. 50 r.ż.'!$C$3:'8pow. 50 r.ż.'!C17,'8pow. 50 r.ż.'!C17)-1</f>
        <v>15</v>
      </c>
      <c r="C18" s="5" t="str">
        <f>INDEX('8pow. 50 r.ż.'!B3:G28,MATCH(15,B4:B29,0),1)</f>
        <v>przeworski</v>
      </c>
      <c r="D18" s="6">
        <f>INDEX('8pow. 50 r.ż.'!B3:G28,MATCH(15,B4:B29,0),2)</f>
        <v>698</v>
      </c>
      <c r="E18" s="61">
        <f>INDEX('8pow. 50 r.ż.'!B3:G28,MATCH(15,B4:B29,0),3)</f>
        <v>694</v>
      </c>
      <c r="F18" s="6">
        <f>INDEX('8pow. 50 r.ż.'!B3:G28,MATCH(15,B4:B29,0),4)</f>
        <v>4</v>
      </c>
      <c r="G18" s="61">
        <f>INDEX('8pow. 50 r.ż.'!B3:G28,MATCH(15,B4:B29,0),5)</f>
        <v>715</v>
      </c>
      <c r="H18" s="6">
        <f>INDEX('8pow. 50 r.ż.'!B3:G28,MATCH(15,B4:B29,0),6)</f>
        <v>-17</v>
      </c>
    </row>
    <row r="19" spans="2:8" x14ac:dyDescent="0.2">
      <c r="B19" s="6">
        <f>RANK('8pow. 50 r.ż.'!C18,'8pow. 50 r.ż.'!$C$3:'8pow. 50 r.ż.'!$C$28,1)+COUNTIF('8pow. 50 r.ż.'!$C$3:'8pow. 50 r.ż.'!C18,'8pow. 50 r.ż.'!C18)-1</f>
        <v>12</v>
      </c>
      <c r="C19" s="5" t="str">
        <f>INDEX('8pow. 50 r.ż.'!B3:G28,MATCH(16,B4:B29,0),1)</f>
        <v>przemyski</v>
      </c>
      <c r="D19" s="6">
        <f>INDEX('8pow. 50 r.ż.'!B3:G28,MATCH(16,B4:B29,0),2)</f>
        <v>701</v>
      </c>
      <c r="E19" s="61">
        <f>INDEX('8pow. 50 r.ż.'!B3:G28,MATCH(16,B4:B29,0),3)</f>
        <v>700</v>
      </c>
      <c r="F19" s="6">
        <f>INDEX('8pow. 50 r.ż.'!B3:G28,MATCH(16,B4:B29,0),4)</f>
        <v>1</v>
      </c>
      <c r="G19" s="61">
        <f>INDEX('8pow. 50 r.ż.'!B3:G28,MATCH(16,B4:B29,0),5)</f>
        <v>727</v>
      </c>
      <c r="H19" s="6">
        <f>INDEX('8pow. 50 r.ż.'!B3:G28,MATCH(16,B4:B29,0),6)</f>
        <v>-26</v>
      </c>
    </row>
    <row r="20" spans="2:8" x14ac:dyDescent="0.2">
      <c r="B20" s="6">
        <f>RANK('8pow. 50 r.ż.'!C19,'8pow. 50 r.ż.'!$C$3:'8pow. 50 r.ż.'!$C$28,1)+COUNTIF('8pow. 50 r.ż.'!$C$3:'8pow. 50 r.ż.'!C19,'8pow. 50 r.ż.'!C19)-1</f>
        <v>23</v>
      </c>
      <c r="C20" s="5" t="str">
        <f>INDEX('8pow. 50 r.ż.'!B3:G28,MATCH(17,B4:B29,0),1)</f>
        <v>niżański</v>
      </c>
      <c r="D20" s="6">
        <f>INDEX('8pow. 50 r.ż.'!B3:G28,MATCH(17,B4:B29,0),2)</f>
        <v>703</v>
      </c>
      <c r="E20" s="61">
        <f>INDEX('8pow. 50 r.ż.'!B3:G28,MATCH(17,B4:B29,0),3)</f>
        <v>697</v>
      </c>
      <c r="F20" s="6">
        <f>INDEX('8pow. 50 r.ż.'!B3:G28,MATCH(17,B4:B29,0),4)</f>
        <v>6</v>
      </c>
      <c r="G20" s="61">
        <f>INDEX('8pow. 50 r.ż.'!B3:G28,MATCH(17,B4:B29,0),5)</f>
        <v>754</v>
      </c>
      <c r="H20" s="6">
        <f>INDEX('8pow. 50 r.ż.'!B3:G28,MATCH(17,B4:B29,0),6)</f>
        <v>-51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strzyżowski</v>
      </c>
      <c r="D21" s="6">
        <f>INDEX('8pow. 50 r.ż.'!B3:G28,MATCH(18,B4:B29,0),2)</f>
        <v>704</v>
      </c>
      <c r="E21" s="61">
        <f>INDEX('8pow. 50 r.ż.'!B3:G28,MATCH(18,B4:B29,0),3)</f>
        <v>694</v>
      </c>
      <c r="F21" s="6">
        <f>INDEX('8pow. 50 r.ż.'!B3:G28,MATCH(18,B4:B29,0),4)</f>
        <v>10</v>
      </c>
      <c r="G21" s="61">
        <f>INDEX('8pow. 50 r.ż.'!B3:G28,MATCH(18,B4:B29,0),5)</f>
        <v>763</v>
      </c>
      <c r="H21" s="6">
        <f>INDEX('8pow. 50 r.ż.'!B3:G28,MATCH(18,B4:B29,0),6)</f>
        <v>-59</v>
      </c>
    </row>
    <row r="22" spans="2:8" x14ac:dyDescent="0.2">
      <c r="B22" s="6">
        <f>RANK('8pow. 50 r.ż.'!C21,'8pow. 50 r.ż.'!$C$3:'8pow. 50 r.ż.'!$C$28,1)+COUNTIF('8pow. 50 r.ż.'!$C$3:'8pow. 50 r.ż.'!C21,'8pow. 50 r.ż.'!C21)-1</f>
        <v>7</v>
      </c>
      <c r="C22" s="5" t="str">
        <f>INDEX('8pow. 50 r.ż.'!B3:G28,MATCH(19,B4:B29,0),1)</f>
        <v>leżajski</v>
      </c>
      <c r="D22" s="6">
        <f>INDEX('8pow. 50 r.ż.'!B3:G28,MATCH(19,B4:B29,0),2)</f>
        <v>705</v>
      </c>
      <c r="E22" s="61">
        <f>INDEX('8pow. 50 r.ż.'!B3:G28,MATCH(19,B4:B29,0),3)</f>
        <v>677</v>
      </c>
      <c r="F22" s="6">
        <f>INDEX('8pow. 50 r.ż.'!B3:G28,MATCH(19,B4:B29,0),4)</f>
        <v>28</v>
      </c>
      <c r="G22" s="61">
        <f>INDEX('8pow. 50 r.ż.'!B3:G28,MATCH(19,B4:B29,0),5)</f>
        <v>698</v>
      </c>
      <c r="H22" s="6">
        <f>INDEX('8pow. 50 r.ż.'!B3:G28,MATCH(19,B4:B29,0),6)</f>
        <v>7</v>
      </c>
    </row>
    <row r="23" spans="2:8" x14ac:dyDescent="0.2">
      <c r="B23" s="6">
        <f>RANK('8pow. 50 r.ż.'!C22,'8pow. 50 r.ż.'!$C$3:'8pow. 50 r.ż.'!$C$28,1)+COUNTIF('8pow. 50 r.ż.'!$C$3:'8pow. 50 r.ż.'!C22,'8pow. 50 r.ż.'!C22)-1</f>
        <v>18</v>
      </c>
      <c r="C23" s="5" t="str">
        <f>INDEX('8pow. 50 r.ż.'!B3:G28,MATCH(20,B4:B29,0),1)</f>
        <v>mielecki</v>
      </c>
      <c r="D23" s="6">
        <f>INDEX('8pow. 50 r.ż.'!B3:G28,MATCH(20,B4:B29,0),2)</f>
        <v>742</v>
      </c>
      <c r="E23" s="61">
        <f>INDEX('8pow. 50 r.ż.'!B3:G28,MATCH(20,B4:B29,0),3)</f>
        <v>733</v>
      </c>
      <c r="F23" s="6">
        <f>INDEX('8pow. 50 r.ż.'!B3:G28,MATCH(20,B4:B29,0),4)</f>
        <v>9</v>
      </c>
      <c r="G23" s="61">
        <f>INDEX('8pow. 50 r.ż.'!B3:G28,MATCH(20,B4:B29,0),5)</f>
        <v>668</v>
      </c>
      <c r="H23" s="6">
        <f>INDEX('8pow. 50 r.ż.'!B3:G28,MATCH(20,B4:B29,0),6)</f>
        <v>74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927</v>
      </c>
      <c r="E24" s="61">
        <f>INDEX('8pow. 50 r.ż.'!B3:G28,MATCH(21,B4:B29,0),3)</f>
        <v>888</v>
      </c>
      <c r="F24" s="6">
        <f>INDEX('8pow. 50 r.ż.'!B3:G28,MATCH(21,B4:B29,0),4)</f>
        <v>39</v>
      </c>
      <c r="G24" s="61">
        <f>INDEX('8pow. 50 r.ż.'!B3:G28,MATCH(21,B4:B29,0),5)</f>
        <v>989</v>
      </c>
      <c r="H24" s="6">
        <f>INDEX('8pow. 50 r.ż.'!B3:G28,MATCH(21,B4:B29,0),6)</f>
        <v>-62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1011</v>
      </c>
      <c r="E25" s="61">
        <f>INDEX('8pow. 50 r.ż.'!B3:G28,MATCH(22,B4:B29,0),3)</f>
        <v>1015</v>
      </c>
      <c r="F25" s="6">
        <f>INDEX('8pow. 50 r.ż.'!B3:G28,MATCH(22,B4:B29,0),4)</f>
        <v>-4</v>
      </c>
      <c r="G25" s="61">
        <f>INDEX('8pow. 50 r.ż.'!B3:G28,MATCH(22,B4:B29,0),5)</f>
        <v>1109</v>
      </c>
      <c r="H25" s="6">
        <f>INDEX('8pow. 50 r.ż.'!B3:G28,MATCH(22,B4:B29,0),6)</f>
        <v>-98</v>
      </c>
    </row>
    <row r="26" spans="2:8" x14ac:dyDescent="0.2">
      <c r="B26" s="6">
        <f>RANK('8pow. 50 r.ż.'!C25,'8pow. 50 r.ż.'!$C$3:'8pow. 50 r.ż.'!$C$28,1)+COUNTIF('8pow. 50 r.ż.'!$C$3:'8pow. 50 r.ż.'!C25,'8pow. 50 r.ż.'!C25)-1</f>
        <v>14</v>
      </c>
      <c r="C26" s="5" t="str">
        <f>INDEX('8pow. 50 r.ż.'!B3:G28,MATCH(23,B4:B29,0),1)</f>
        <v>rzeszowski</v>
      </c>
      <c r="D26" s="6">
        <f>INDEX('8pow. 50 r.ż.'!B3:G28,MATCH(23,B4:B29,0),2)</f>
        <v>1113</v>
      </c>
      <c r="E26" s="61">
        <f>INDEX('8pow. 50 r.ż.'!B3:G28,MATCH(23,B4:B29,0),3)</f>
        <v>1092</v>
      </c>
      <c r="F26" s="6">
        <f>INDEX('8pow. 50 r.ż.'!B3:G28,MATCH(23,B4:B29,0),4)</f>
        <v>21</v>
      </c>
      <c r="G26" s="61">
        <f>INDEX('8pow. 50 r.ż.'!B3:G28,MATCH(23,B4:B29,0),5)</f>
        <v>1236</v>
      </c>
      <c r="H26" s="6">
        <f>INDEX('8pow. 50 r.ż.'!B3:G28,MATCH(23,B4:B29,0),6)</f>
        <v>-123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jasielski</v>
      </c>
      <c r="D27" s="6">
        <f>INDEX('8pow. 50 r.ż.'!B3:G28,MATCH(24,B4:B29,0),2)</f>
        <v>1128</v>
      </c>
      <c r="E27" s="61">
        <f>INDEX('8pow. 50 r.ż.'!B3:G28,MATCH(24,B4:B29,0),3)</f>
        <v>1097</v>
      </c>
      <c r="F27" s="6">
        <f>INDEX('8pow. 50 r.ż.'!B3:G28,MATCH(24,B4:B29,0),4)</f>
        <v>31</v>
      </c>
      <c r="G27" s="61">
        <f>INDEX('8pow. 50 r.ż.'!B3:G28,MATCH(24,B4:B29,0),5)</f>
        <v>1149</v>
      </c>
      <c r="H27" s="6">
        <f>INDEX('8pow. 50 r.ż.'!B3:G28,MATCH(24,B4:B29,0),6)</f>
        <v>-21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1350</v>
      </c>
      <c r="E28" s="61">
        <f>INDEX('8pow. 50 r.ż.'!B3:G28,MATCH(25,B4:B29,0),3)</f>
        <v>1347</v>
      </c>
      <c r="F28" s="6">
        <f>INDEX('8pow. 50 r.ż.'!B3:G28,MATCH(25,B4:B29,0),4)</f>
        <v>3</v>
      </c>
      <c r="G28" s="61">
        <f>INDEX('8pow. 50 r.ż.'!B3:G28,MATCH(25,B4:B29,0),5)</f>
        <v>1466</v>
      </c>
      <c r="H28" s="6">
        <f>INDEX('8pow. 50 r.ż.'!B3:G28,MATCH(25,B4:B29,0),6)</f>
        <v>-116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16209</v>
      </c>
      <c r="E29" s="63">
        <f>INDEX('8pow. 50 r.ż.'!B3:G28,MATCH(26,B4:B29,0),3)</f>
        <v>15930</v>
      </c>
      <c r="F29" s="59">
        <f>INDEX('8pow. 50 r.ż.'!B3:G28,MATCH(26,B4:B29,0),4)</f>
        <v>279</v>
      </c>
      <c r="G29" s="63">
        <f>INDEX('8pow. 50 r.ż.'!B3:G28,MATCH(26,B4:B29,0),5)</f>
        <v>16874</v>
      </c>
      <c r="H29" s="59">
        <f>INDEX('8pow. 50 r.ż.'!B3:G28,MATCH(26,B4:B29,0),6)</f>
        <v>-665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150</v>
      </c>
      <c r="D2" s="57" t="s">
        <v>120</v>
      </c>
      <c r="E2" s="56" t="s">
        <v>28</v>
      </c>
      <c r="F2" s="57" t="s">
        <v>149</v>
      </c>
      <c r="G2" s="56" t="s">
        <v>26</v>
      </c>
    </row>
    <row r="3" spans="2:8" x14ac:dyDescent="0.2">
      <c r="B3" s="5" t="s">
        <v>0</v>
      </c>
      <c r="C3" s="45">
        <v>7</v>
      </c>
      <c r="D3" s="61">
        <v>15</v>
      </c>
      <c r="E3" s="45">
        <f t="shared" ref="E3:E27" si="0">SUM(C3)-D3</f>
        <v>-8</v>
      </c>
      <c r="F3" s="61">
        <v>8</v>
      </c>
      <c r="G3" s="45">
        <f t="shared" ref="G3:G27" si="1">SUM(C3)-F3</f>
        <v>-1</v>
      </c>
      <c r="H3" s="7"/>
    </row>
    <row r="4" spans="2:8" x14ac:dyDescent="0.2">
      <c r="B4" s="5" t="s">
        <v>1</v>
      </c>
      <c r="C4" s="45">
        <v>27</v>
      </c>
      <c r="D4" s="61">
        <v>40</v>
      </c>
      <c r="E4" s="45">
        <f t="shared" si="0"/>
        <v>-13</v>
      </c>
      <c r="F4" s="61">
        <v>78</v>
      </c>
      <c r="G4" s="45">
        <f t="shared" si="1"/>
        <v>-51</v>
      </c>
      <c r="H4" s="7"/>
    </row>
    <row r="5" spans="2:8" x14ac:dyDescent="0.2">
      <c r="B5" s="5" t="s">
        <v>2</v>
      </c>
      <c r="C5" s="45">
        <v>212</v>
      </c>
      <c r="D5" s="61">
        <v>342</v>
      </c>
      <c r="E5" s="45">
        <f t="shared" si="0"/>
        <v>-130</v>
      </c>
      <c r="F5" s="61">
        <v>226</v>
      </c>
      <c r="G5" s="45">
        <f t="shared" si="1"/>
        <v>-14</v>
      </c>
      <c r="H5" s="7"/>
    </row>
    <row r="6" spans="2:8" x14ac:dyDescent="0.2">
      <c r="B6" s="5" t="s">
        <v>3</v>
      </c>
      <c r="C6" s="45">
        <v>638</v>
      </c>
      <c r="D6" s="61">
        <v>322</v>
      </c>
      <c r="E6" s="45">
        <f t="shared" si="0"/>
        <v>316</v>
      </c>
      <c r="F6" s="61">
        <v>150</v>
      </c>
      <c r="G6" s="45">
        <f t="shared" si="1"/>
        <v>488</v>
      </c>
      <c r="H6" s="7"/>
    </row>
    <row r="7" spans="2:8" x14ac:dyDescent="0.2">
      <c r="B7" s="5" t="s">
        <v>4</v>
      </c>
      <c r="C7" s="45">
        <v>243</v>
      </c>
      <c r="D7" s="61">
        <v>232</v>
      </c>
      <c r="E7" s="45">
        <f t="shared" si="0"/>
        <v>11</v>
      </c>
      <c r="F7" s="61">
        <v>277</v>
      </c>
      <c r="G7" s="45">
        <f t="shared" si="1"/>
        <v>-34</v>
      </c>
      <c r="H7" s="7"/>
    </row>
    <row r="8" spans="2:8" x14ac:dyDescent="0.2">
      <c r="B8" s="5" t="s">
        <v>5</v>
      </c>
      <c r="C8" s="45">
        <v>68</v>
      </c>
      <c r="D8" s="61">
        <v>71</v>
      </c>
      <c r="E8" s="45">
        <f t="shared" si="0"/>
        <v>-3</v>
      </c>
      <c r="F8" s="61">
        <v>128</v>
      </c>
      <c r="G8" s="45">
        <f t="shared" si="1"/>
        <v>-60</v>
      </c>
      <c r="H8" s="7"/>
    </row>
    <row r="9" spans="2:8" x14ac:dyDescent="0.2">
      <c r="B9" s="9" t="s">
        <v>6</v>
      </c>
      <c r="C9" s="45">
        <v>49</v>
      </c>
      <c r="D9" s="61">
        <v>76</v>
      </c>
      <c r="E9" s="45">
        <f t="shared" si="0"/>
        <v>-27</v>
      </c>
      <c r="F9" s="61">
        <v>40</v>
      </c>
      <c r="G9" s="45">
        <f t="shared" si="1"/>
        <v>9</v>
      </c>
      <c r="H9" s="7"/>
    </row>
    <row r="10" spans="2:8" x14ac:dyDescent="0.2">
      <c r="B10" s="5" t="s">
        <v>7</v>
      </c>
      <c r="C10" s="45">
        <v>17</v>
      </c>
      <c r="D10" s="61">
        <v>18</v>
      </c>
      <c r="E10" s="45">
        <f t="shared" si="0"/>
        <v>-1</v>
      </c>
      <c r="F10" s="61">
        <v>67</v>
      </c>
      <c r="G10" s="45">
        <f t="shared" si="1"/>
        <v>-50</v>
      </c>
      <c r="H10" s="7"/>
    </row>
    <row r="11" spans="2:8" x14ac:dyDescent="0.2">
      <c r="B11" s="5" t="s">
        <v>8</v>
      </c>
      <c r="C11" s="45">
        <v>97</v>
      </c>
      <c r="D11" s="61">
        <v>62</v>
      </c>
      <c r="E11" s="45">
        <f t="shared" si="0"/>
        <v>35</v>
      </c>
      <c r="F11" s="61">
        <v>49</v>
      </c>
      <c r="G11" s="45">
        <f t="shared" si="1"/>
        <v>48</v>
      </c>
      <c r="H11" s="7"/>
    </row>
    <row r="12" spans="2:8" x14ac:dyDescent="0.2">
      <c r="B12" s="5" t="s">
        <v>9</v>
      </c>
      <c r="C12" s="45">
        <v>44</v>
      </c>
      <c r="D12" s="61">
        <v>65</v>
      </c>
      <c r="E12" s="45">
        <f t="shared" si="0"/>
        <v>-21</v>
      </c>
      <c r="F12" s="61">
        <v>36</v>
      </c>
      <c r="G12" s="45">
        <f t="shared" si="1"/>
        <v>8</v>
      </c>
      <c r="H12" s="7"/>
    </row>
    <row r="13" spans="2:8" x14ac:dyDescent="0.2">
      <c r="B13" s="5" t="s">
        <v>10</v>
      </c>
      <c r="C13" s="45">
        <v>56</v>
      </c>
      <c r="D13" s="61">
        <v>36</v>
      </c>
      <c r="E13" s="45">
        <f t="shared" si="0"/>
        <v>20</v>
      </c>
      <c r="F13" s="61">
        <v>132</v>
      </c>
      <c r="G13" s="45">
        <f t="shared" si="1"/>
        <v>-76</v>
      </c>
      <c r="H13" s="7"/>
    </row>
    <row r="14" spans="2:8" x14ac:dyDescent="0.2">
      <c r="B14" s="5" t="s">
        <v>11</v>
      </c>
      <c r="C14" s="45">
        <v>312</v>
      </c>
      <c r="D14" s="61">
        <v>389</v>
      </c>
      <c r="E14" s="45">
        <f t="shared" si="0"/>
        <v>-77</v>
      </c>
      <c r="F14" s="61">
        <v>287</v>
      </c>
      <c r="G14" s="45">
        <f t="shared" si="1"/>
        <v>25</v>
      </c>
      <c r="H14" s="7"/>
    </row>
    <row r="15" spans="2:8" x14ac:dyDescent="0.2">
      <c r="B15" s="5" t="s">
        <v>12</v>
      </c>
      <c r="C15" s="45">
        <v>52</v>
      </c>
      <c r="D15" s="61">
        <v>80</v>
      </c>
      <c r="E15" s="45">
        <f t="shared" si="0"/>
        <v>-28</v>
      </c>
      <c r="F15" s="61">
        <v>73</v>
      </c>
      <c r="G15" s="45">
        <f t="shared" si="1"/>
        <v>-21</v>
      </c>
      <c r="H15" s="7"/>
    </row>
    <row r="16" spans="2:8" x14ac:dyDescent="0.2">
      <c r="B16" s="5" t="s">
        <v>13</v>
      </c>
      <c r="C16" s="45">
        <v>7</v>
      </c>
      <c r="D16" s="61">
        <v>28</v>
      </c>
      <c r="E16" s="45">
        <f t="shared" si="0"/>
        <v>-21</v>
      </c>
      <c r="F16" s="61">
        <v>25</v>
      </c>
      <c r="G16" s="45">
        <f t="shared" si="1"/>
        <v>-18</v>
      </c>
      <c r="H16" s="7"/>
    </row>
    <row r="17" spans="2:8" x14ac:dyDescent="0.2">
      <c r="B17" s="5" t="s">
        <v>14</v>
      </c>
      <c r="C17" s="45">
        <v>312</v>
      </c>
      <c r="D17" s="61">
        <v>228</v>
      </c>
      <c r="E17" s="45">
        <f t="shared" si="0"/>
        <v>84</v>
      </c>
      <c r="F17" s="61">
        <v>210</v>
      </c>
      <c r="G17" s="45">
        <f t="shared" si="1"/>
        <v>102</v>
      </c>
      <c r="H17" s="7"/>
    </row>
    <row r="18" spans="2:8" x14ac:dyDescent="0.2">
      <c r="B18" s="5" t="s">
        <v>15</v>
      </c>
      <c r="C18" s="45">
        <v>153</v>
      </c>
      <c r="D18" s="61">
        <v>188</v>
      </c>
      <c r="E18" s="45">
        <f t="shared" si="0"/>
        <v>-35</v>
      </c>
      <c r="F18" s="61">
        <v>172</v>
      </c>
      <c r="G18" s="45">
        <f t="shared" si="1"/>
        <v>-19</v>
      </c>
      <c r="H18" s="7"/>
    </row>
    <row r="19" spans="2:8" x14ac:dyDescent="0.2">
      <c r="B19" s="5" t="s">
        <v>16</v>
      </c>
      <c r="C19" s="45">
        <v>103</v>
      </c>
      <c r="D19" s="61">
        <v>154</v>
      </c>
      <c r="E19" s="45">
        <f t="shared" si="0"/>
        <v>-51</v>
      </c>
      <c r="F19" s="61">
        <v>117</v>
      </c>
      <c r="G19" s="45">
        <f t="shared" si="1"/>
        <v>-14</v>
      </c>
      <c r="H19" s="7"/>
    </row>
    <row r="20" spans="2:8" x14ac:dyDescent="0.2">
      <c r="B20" s="5" t="s">
        <v>17</v>
      </c>
      <c r="C20" s="45">
        <v>58</v>
      </c>
      <c r="D20" s="61">
        <v>69</v>
      </c>
      <c r="E20" s="45">
        <f t="shared" si="0"/>
        <v>-11</v>
      </c>
      <c r="F20" s="61">
        <v>88</v>
      </c>
      <c r="G20" s="45">
        <f t="shared" si="1"/>
        <v>-30</v>
      </c>
      <c r="H20" s="7"/>
    </row>
    <row r="21" spans="2:8" x14ac:dyDescent="0.2">
      <c r="B21" s="5" t="s">
        <v>18</v>
      </c>
      <c r="C21" s="45">
        <v>150</v>
      </c>
      <c r="D21" s="61">
        <v>102</v>
      </c>
      <c r="E21" s="45">
        <f t="shared" si="0"/>
        <v>48</v>
      </c>
      <c r="F21" s="61">
        <v>207</v>
      </c>
      <c r="G21" s="45">
        <f t="shared" si="1"/>
        <v>-57</v>
      </c>
      <c r="H21" s="7"/>
    </row>
    <row r="22" spans="2:8" x14ac:dyDescent="0.2">
      <c r="B22" s="5" t="s">
        <v>19</v>
      </c>
      <c r="C22" s="45">
        <v>62</v>
      </c>
      <c r="D22" s="61">
        <v>112</v>
      </c>
      <c r="E22" s="45">
        <f t="shared" si="0"/>
        <v>-50</v>
      </c>
      <c r="F22" s="61">
        <v>104</v>
      </c>
      <c r="G22" s="45">
        <f t="shared" si="1"/>
        <v>-42</v>
      </c>
      <c r="H22" s="7"/>
    </row>
    <row r="23" spans="2:8" x14ac:dyDescent="0.2">
      <c r="B23" s="5" t="s">
        <v>20</v>
      </c>
      <c r="C23" s="45">
        <v>90</v>
      </c>
      <c r="D23" s="61">
        <v>103</v>
      </c>
      <c r="E23" s="45">
        <f t="shared" si="0"/>
        <v>-13</v>
      </c>
      <c r="F23" s="61">
        <v>55</v>
      </c>
      <c r="G23" s="45">
        <f t="shared" si="1"/>
        <v>35</v>
      </c>
      <c r="H23" s="7"/>
    </row>
    <row r="24" spans="2:8" x14ac:dyDescent="0.2">
      <c r="B24" s="5" t="s">
        <v>21</v>
      </c>
      <c r="C24" s="45">
        <v>43</v>
      </c>
      <c r="D24" s="61">
        <v>52</v>
      </c>
      <c r="E24" s="45">
        <f t="shared" si="0"/>
        <v>-9</v>
      </c>
      <c r="F24" s="61">
        <v>61</v>
      </c>
      <c r="G24" s="45">
        <f t="shared" si="1"/>
        <v>-18</v>
      </c>
      <c r="H24" s="7"/>
    </row>
    <row r="25" spans="2:8" x14ac:dyDescent="0.2">
      <c r="B25" s="5" t="s">
        <v>22</v>
      </c>
      <c r="C25" s="45">
        <v>39</v>
      </c>
      <c r="D25" s="61">
        <v>82</v>
      </c>
      <c r="E25" s="45">
        <f t="shared" si="0"/>
        <v>-43</v>
      </c>
      <c r="F25" s="61">
        <v>64</v>
      </c>
      <c r="G25" s="45">
        <f t="shared" si="1"/>
        <v>-25</v>
      </c>
      <c r="H25" s="7"/>
    </row>
    <row r="26" spans="2:8" x14ac:dyDescent="0.2">
      <c r="B26" s="5" t="s">
        <v>23</v>
      </c>
      <c r="C26" s="45">
        <v>727</v>
      </c>
      <c r="D26" s="61">
        <v>621</v>
      </c>
      <c r="E26" s="45">
        <f t="shared" si="0"/>
        <v>106</v>
      </c>
      <c r="F26" s="61">
        <v>473</v>
      </c>
      <c r="G26" s="45">
        <f t="shared" si="1"/>
        <v>254</v>
      </c>
      <c r="H26" s="7"/>
    </row>
    <row r="27" spans="2:8" x14ac:dyDescent="0.2">
      <c r="B27" s="5" t="s">
        <v>24</v>
      </c>
      <c r="C27" s="45">
        <v>64</v>
      </c>
      <c r="D27" s="61">
        <v>86</v>
      </c>
      <c r="E27" s="45">
        <f t="shared" si="0"/>
        <v>-22</v>
      </c>
      <c r="F27" s="61">
        <v>120</v>
      </c>
      <c r="G27" s="45">
        <f t="shared" si="1"/>
        <v>-56</v>
      </c>
      <c r="H27" s="7"/>
    </row>
    <row r="28" spans="2:8" ht="15" x14ac:dyDescent="0.25">
      <c r="B28" s="58" t="s">
        <v>25</v>
      </c>
      <c r="C28" s="77">
        <f>SUM(C3:C27)</f>
        <v>3630</v>
      </c>
      <c r="D28" s="63">
        <f>SUM(D3:D27)</f>
        <v>3573</v>
      </c>
      <c r="E28" s="77">
        <f>SUM(E3:E27)</f>
        <v>57</v>
      </c>
      <c r="F28" s="63">
        <f>SUM(F3:F27)</f>
        <v>3247</v>
      </c>
      <c r="G28" s="77">
        <f>SUM(G3:G27)</f>
        <v>383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T('9oferty p.'!B2)</f>
        <v>powiaty</v>
      </c>
      <c r="D3" s="55" t="str">
        <f>T('9oferty p.'!C2)</f>
        <v>liczba ofert w XI '23 r.</v>
      </c>
      <c r="E3" s="55" t="str">
        <f>T('9oferty p.'!D2)</f>
        <v>liczba ofert w X '23 r.</v>
      </c>
      <c r="F3" s="55" t="str">
        <f>T('9oferty p.'!E2)</f>
        <v>wzrost/spadek do poprzedniego  miesiąca</v>
      </c>
      <c r="G3" s="55" t="str">
        <f>T('9oferty p.'!F2)</f>
        <v>liczba ofert w XI '22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1</v>
      </c>
      <c r="C4" s="5" t="str">
        <f>INDEX('9oferty p.'!B3:G28,MATCH(1,B4:B29,0),1)</f>
        <v>bieszczadzki</v>
      </c>
      <c r="D4" s="25">
        <f>INDEX('9oferty p.'!B3:G28,MATCH(1,B4:B29,0),2)</f>
        <v>7</v>
      </c>
      <c r="E4" s="61">
        <f>INDEX('9oferty p.'!B3:G28,MATCH(1,B4:B29,0),3)</f>
        <v>15</v>
      </c>
      <c r="F4" s="6">
        <f>INDEX('9oferty p.'!B3:G28,MATCH(1,B4:B29,0),4)</f>
        <v>-8</v>
      </c>
      <c r="G4" s="61">
        <f>INDEX('9oferty p.'!B3:G28,MATCH(1,B4:B29,0),5)</f>
        <v>8</v>
      </c>
      <c r="H4" s="6">
        <f>INDEX('9oferty p.'!B3:G28,MATCH(1,B4:B29,0),6)</f>
        <v>-1</v>
      </c>
    </row>
    <row r="5" spans="2:8" x14ac:dyDescent="0.2">
      <c r="B5" s="6">
        <f>RANK('9oferty p.'!C4,'9oferty p.'!$C$3:'9oferty p.'!$C$28,1)+COUNTIF('9oferty p.'!$C$3:'9oferty p.'!C4,'9oferty p.'!C4)-1</f>
        <v>4</v>
      </c>
      <c r="C5" s="5" t="str">
        <f>INDEX('9oferty p.'!B3:G28,MATCH(2,B4:B29,0),1)</f>
        <v>przemyski</v>
      </c>
      <c r="D5" s="6">
        <f>INDEX('9oferty p.'!B3:G28,MATCH(2,B4:B29,0),2)</f>
        <v>7</v>
      </c>
      <c r="E5" s="61">
        <f>INDEX('9oferty p.'!B3:G28,MATCH(2,B4:B29,0),3)</f>
        <v>28</v>
      </c>
      <c r="F5" s="6">
        <f>INDEX('9oferty p.'!B3:G28,MATCH(2,B4:B29,0),4)</f>
        <v>-21</v>
      </c>
      <c r="G5" s="61">
        <f>INDEX('9oferty p.'!B3:G28,MATCH(2,B4:B29,0),5)</f>
        <v>25</v>
      </c>
      <c r="H5" s="6">
        <f>INDEX('9oferty p.'!B3:G28,MATCH(2,B4:B29,0),6)</f>
        <v>-18</v>
      </c>
    </row>
    <row r="6" spans="2:8" x14ac:dyDescent="0.2">
      <c r="B6" s="6">
        <f>RANK('9oferty p.'!C5,'9oferty p.'!$C$3:'9oferty p.'!$C$28,1)+COUNTIF('9oferty p.'!$C$3:'9oferty p.'!C5,'9oferty p.'!C5)-1</f>
        <v>20</v>
      </c>
      <c r="C6" s="5" t="str">
        <f>INDEX('9oferty p.'!B3:G28,MATCH(3,B4:B29,0),1)</f>
        <v>leski</v>
      </c>
      <c r="D6" s="6">
        <f>INDEX('9oferty p.'!B3:G28,MATCH(3,B4:B29,0),2)</f>
        <v>17</v>
      </c>
      <c r="E6" s="61">
        <f>INDEX('9oferty p.'!B3:G28,MATCH(3,B4:B29,0),3)</f>
        <v>18</v>
      </c>
      <c r="F6" s="6">
        <f>INDEX('9oferty p.'!B3:G28,MATCH(3,B4:B29,0),4)</f>
        <v>-1</v>
      </c>
      <c r="G6" s="61">
        <f>INDEX('9oferty p.'!B3:G28,MATCH(3,B4:B29,0),5)</f>
        <v>67</v>
      </c>
      <c r="H6" s="6">
        <f>INDEX('9oferty p.'!B3:G28,MATCH(3,B4:B29,0),6)</f>
        <v>-50</v>
      </c>
    </row>
    <row r="7" spans="2:8" x14ac:dyDescent="0.2">
      <c r="B7" s="6">
        <f>RANK('9oferty p.'!C6,'9oferty p.'!$C$3:'9oferty p.'!$C$28,1)+COUNTIF('9oferty p.'!$C$3:'9oferty p.'!C6,'9oferty p.'!C6)-1</f>
        <v>24</v>
      </c>
      <c r="C7" s="5" t="str">
        <f>INDEX('9oferty p.'!B3:G28,MATCH(4,B4:B29,0),1)</f>
        <v>brzozowski</v>
      </c>
      <c r="D7" s="6">
        <f>INDEX('9oferty p.'!B3:G28,MATCH(4,B4:B29,0),2)</f>
        <v>27</v>
      </c>
      <c r="E7" s="61">
        <f>INDEX('9oferty p.'!B3:G28,MATCH(4,B4:B29,0),3)</f>
        <v>40</v>
      </c>
      <c r="F7" s="6">
        <f>INDEX('9oferty p.'!B3:G28,MATCH(4,B4:B29,0),4)</f>
        <v>-13</v>
      </c>
      <c r="G7" s="61">
        <f>INDEX('9oferty p.'!B3:G28,MATCH(4,B4:B29,0),5)</f>
        <v>78</v>
      </c>
      <c r="H7" s="6">
        <f>INDEX('9oferty p.'!B3:G28,MATCH(4,B4:B29,0),6)</f>
        <v>-51</v>
      </c>
    </row>
    <row r="8" spans="2:8" x14ac:dyDescent="0.2">
      <c r="B8" s="6">
        <f>RANK('9oferty p.'!C7,'9oferty p.'!$C$3:'9oferty p.'!$C$28,1)+COUNTIF('9oferty p.'!$C$3:'9oferty p.'!C7,'9oferty p.'!C7)-1</f>
        <v>21</v>
      </c>
      <c r="C8" s="5" t="str">
        <f>INDEX('9oferty p.'!B3:G28,MATCH(5,B4:B29,0),1)</f>
        <v>Przemyśl</v>
      </c>
      <c r="D8" s="6">
        <f>INDEX('9oferty p.'!B3:G28,MATCH(5,B4:B29,0),2)</f>
        <v>39</v>
      </c>
      <c r="E8" s="61">
        <f>INDEX('9oferty p.'!B3:G28,MATCH(5,B4:B29,0),3)</f>
        <v>82</v>
      </c>
      <c r="F8" s="6">
        <f>INDEX('9oferty p.'!B3:G28,MATCH(5,B4:B29,0),4)</f>
        <v>-43</v>
      </c>
      <c r="G8" s="61">
        <f>INDEX('9oferty p.'!B3:G28,MATCH(5,B4:B29,0),5)</f>
        <v>64</v>
      </c>
      <c r="H8" s="6">
        <f>INDEX('9oferty p.'!B3:G28,MATCH(5,B4:B29,0),6)</f>
        <v>-25</v>
      </c>
    </row>
    <row r="9" spans="2:8" x14ac:dyDescent="0.2">
      <c r="B9" s="6">
        <f>RANK('9oferty p.'!C8,'9oferty p.'!$C$3:'9oferty p.'!$C$28,1)+COUNTIF('9oferty p.'!$C$3:'9oferty p.'!C8,'9oferty p.'!C8)-1</f>
        <v>14</v>
      </c>
      <c r="C9" s="5" t="str">
        <f>INDEX('9oferty p.'!B3:G28,MATCH(6,B4:B29,0),1)</f>
        <v>Krosno</v>
      </c>
      <c r="D9" s="6">
        <f>INDEX('9oferty p.'!B3:G28,MATCH(6,B4:B29,0),2)</f>
        <v>43</v>
      </c>
      <c r="E9" s="61">
        <f>INDEX('9oferty p.'!B3:G28,MATCH(6,B4:B29,0),3)</f>
        <v>52</v>
      </c>
      <c r="F9" s="6">
        <f>INDEX('9oferty p.'!B3:G28,MATCH(6,B4:B29,0),4)</f>
        <v>-9</v>
      </c>
      <c r="G9" s="61">
        <f>INDEX('9oferty p.'!B3:G28,MATCH(6,B4:B29,0),5)</f>
        <v>61</v>
      </c>
      <c r="H9" s="6">
        <f>INDEX('9oferty p.'!B3:G28,MATCH(6,B4:B29,0),6)</f>
        <v>-18</v>
      </c>
    </row>
    <row r="10" spans="2:8" x14ac:dyDescent="0.2">
      <c r="B10" s="6">
        <f>RANK('9oferty p.'!C9,'9oferty p.'!$C$3:'9oferty p.'!$C$28,1)+COUNTIF('9oferty p.'!$C$3:'9oferty p.'!C9,'9oferty p.'!C9)-1</f>
        <v>8</v>
      </c>
      <c r="C10" s="9" t="str">
        <f>INDEX('9oferty p.'!B3:G28,MATCH(7,B4:B29,0),1)</f>
        <v>lubaczowski</v>
      </c>
      <c r="D10" s="6">
        <f>INDEX('9oferty p.'!B3:G28,MATCH(7,B4:B29,0),2)</f>
        <v>44</v>
      </c>
      <c r="E10" s="61">
        <f>INDEX('9oferty p.'!B3:G28,MATCH(7,B4:B29,0),3)</f>
        <v>65</v>
      </c>
      <c r="F10" s="6">
        <f>INDEX('9oferty p.'!B3:G28,MATCH(7,B4:B29,0),4)</f>
        <v>-21</v>
      </c>
      <c r="G10" s="61">
        <f>INDEX('9oferty p.'!B3:G28,MATCH(7,B4:B29,0),5)</f>
        <v>36</v>
      </c>
      <c r="H10" s="6">
        <f>INDEX('9oferty p.'!B3:G28,MATCH(7,B4:B29,0),6)</f>
        <v>8</v>
      </c>
    </row>
    <row r="11" spans="2:8" x14ac:dyDescent="0.2">
      <c r="B11" s="6">
        <f>RANK('9oferty p.'!C10,'9oferty p.'!$C$3:'9oferty p.'!$C$28,1)+COUNTIF('9oferty p.'!$C$3:'9oferty p.'!C10,'9oferty p.'!C10)-1</f>
        <v>3</v>
      </c>
      <c r="C11" s="5" t="str">
        <f>INDEX('9oferty p.'!B3:G28,MATCH(8,B4:B29,0),1)</f>
        <v>krośnieński</v>
      </c>
      <c r="D11" s="6">
        <f>INDEX('9oferty p.'!B3:G28,MATCH(8,B4:B29,0),2)</f>
        <v>49</v>
      </c>
      <c r="E11" s="61">
        <f>INDEX('9oferty p.'!B3:G28,MATCH(8,B4:B29,0),3)</f>
        <v>76</v>
      </c>
      <c r="F11" s="6">
        <f>INDEX('9oferty p.'!B3:G28,MATCH(8,B4:B29,0),4)</f>
        <v>-27</v>
      </c>
      <c r="G11" s="61">
        <f>INDEX('9oferty p.'!B3:G28,MATCH(8,B4:B29,0),5)</f>
        <v>40</v>
      </c>
      <c r="H11" s="6">
        <f>INDEX('9oferty p.'!B3:G28,MATCH(8,B4:B29,0),6)</f>
        <v>9</v>
      </c>
    </row>
    <row r="12" spans="2:8" x14ac:dyDescent="0.2">
      <c r="B12" s="6">
        <f>RANK('9oferty p.'!C11,'9oferty p.'!$C$3:'9oferty p.'!$C$28,1)+COUNTIF('9oferty p.'!$C$3:'9oferty p.'!C11,'9oferty p.'!C11)-1</f>
        <v>16</v>
      </c>
      <c r="C12" s="5" t="str">
        <f>INDEX('9oferty p.'!B3:G28,MATCH(9,B4:B29,0),1)</f>
        <v>niżański</v>
      </c>
      <c r="D12" s="6">
        <f>INDEX('9oferty p.'!B3:G28,MATCH(9,B4:B29,0),2)</f>
        <v>52</v>
      </c>
      <c r="E12" s="61">
        <f>INDEX('9oferty p.'!B3:G28,MATCH(9,B4:B29,0),3)</f>
        <v>80</v>
      </c>
      <c r="F12" s="6">
        <f>INDEX('9oferty p.'!B3:G28,MATCH(9,B4:B29,0),4)</f>
        <v>-28</v>
      </c>
      <c r="G12" s="61">
        <f>INDEX('9oferty p.'!B3:G28,MATCH(9,B4:B29,0),5)</f>
        <v>73</v>
      </c>
      <c r="H12" s="6">
        <f>INDEX('9oferty p.'!B3:G28,MATCH(9,B4:B29,0),6)</f>
        <v>-21</v>
      </c>
    </row>
    <row r="13" spans="2:8" x14ac:dyDescent="0.2">
      <c r="B13" s="6">
        <f>RANK('9oferty p.'!C12,'9oferty p.'!$C$3:'9oferty p.'!$C$28,1)+COUNTIF('9oferty p.'!$C$3:'9oferty p.'!C12,'9oferty p.'!C12)-1</f>
        <v>7</v>
      </c>
      <c r="C13" s="5" t="str">
        <f>INDEX('9oferty p.'!B3:G28,MATCH(10,B4:B29,0),1)</f>
        <v>łańcucki</v>
      </c>
      <c r="D13" s="6">
        <f>INDEX('9oferty p.'!B3:G28,MATCH(10,B4:B29,0),2)</f>
        <v>56</v>
      </c>
      <c r="E13" s="61">
        <f>INDEX('9oferty p.'!B3:G28,MATCH(10,B4:B29,0),3)</f>
        <v>36</v>
      </c>
      <c r="F13" s="6">
        <f>INDEX('9oferty p.'!B3:G28,MATCH(10,B4:B29,0),4)</f>
        <v>20</v>
      </c>
      <c r="G13" s="61">
        <f>INDEX('9oferty p.'!B3:G28,MATCH(10,B4:B29,0),5)</f>
        <v>132</v>
      </c>
      <c r="H13" s="6">
        <f>INDEX('9oferty p.'!B3:G28,MATCH(10,B4:B29,0),6)</f>
        <v>-76</v>
      </c>
    </row>
    <row r="14" spans="2:8" x14ac:dyDescent="0.2">
      <c r="B14" s="6">
        <f>RANK('9oferty p.'!C13,'9oferty p.'!$C$3:'9oferty p.'!$C$28,1)+COUNTIF('9oferty p.'!$C$3:'9oferty p.'!C13,'9oferty p.'!C13)-1</f>
        <v>10</v>
      </c>
      <c r="C14" s="5" t="str">
        <f>INDEX('9oferty p.'!B3:G28,MATCH(11,B4:B29,0),1)</f>
        <v>sanocki</v>
      </c>
      <c r="D14" s="6">
        <f>INDEX('9oferty p.'!B3:G28,MATCH(11,B4:B29,0),2)</f>
        <v>58</v>
      </c>
      <c r="E14" s="61">
        <f>INDEX('9oferty p.'!B3:G28,MATCH(11,B4:B29,0),3)</f>
        <v>69</v>
      </c>
      <c r="F14" s="6">
        <f>INDEX('9oferty p.'!B3:G28,MATCH(11,B4:B29,0),4)</f>
        <v>-11</v>
      </c>
      <c r="G14" s="61">
        <f>INDEX('9oferty p.'!B3:G28,MATCH(11,B4:B29,0),5)</f>
        <v>88</v>
      </c>
      <c r="H14" s="6">
        <f>INDEX('9oferty p.'!B3:G28,MATCH(11,B4:B29,0),6)</f>
        <v>-30</v>
      </c>
    </row>
    <row r="15" spans="2:8" x14ac:dyDescent="0.2">
      <c r="B15" s="6">
        <f>RANK('9oferty p.'!C14,'9oferty p.'!$C$3:'9oferty p.'!$C$28,1)+COUNTIF('9oferty p.'!$C$3:'9oferty p.'!C14,'9oferty p.'!C14)-1</f>
        <v>22</v>
      </c>
      <c r="C15" s="5" t="str">
        <f>INDEX('9oferty p.'!B3:G28,MATCH(12,B4:B29,0),1)</f>
        <v>strzyżowski</v>
      </c>
      <c r="D15" s="6">
        <f>INDEX('9oferty p.'!B3:G28,MATCH(12,B4:B29,0),2)</f>
        <v>62</v>
      </c>
      <c r="E15" s="61">
        <f>INDEX('9oferty p.'!B3:G28,MATCH(12,B4:B29,0),3)</f>
        <v>112</v>
      </c>
      <c r="F15" s="6">
        <f>INDEX('9oferty p.'!B3:G28,MATCH(12,B4:B29,0),4)</f>
        <v>-50</v>
      </c>
      <c r="G15" s="61">
        <f>INDEX('9oferty p.'!B3:G28,MATCH(12,B4:B29,0),5)</f>
        <v>104</v>
      </c>
      <c r="H15" s="6">
        <f>INDEX('9oferty p.'!B3:G28,MATCH(12,B4:B29,0),6)</f>
        <v>-42</v>
      </c>
    </row>
    <row r="16" spans="2:8" x14ac:dyDescent="0.2">
      <c r="B16" s="6">
        <f>RANK('9oferty p.'!C15,'9oferty p.'!$C$3:'9oferty p.'!$C$28,1)+COUNTIF('9oferty p.'!$C$3:'9oferty p.'!C15,'9oferty p.'!C15)-1</f>
        <v>9</v>
      </c>
      <c r="C16" s="5" t="str">
        <f>INDEX('9oferty p.'!B3:G28,MATCH(13,B4:B29,0),1)</f>
        <v>Tarnobrzeg</v>
      </c>
      <c r="D16" s="6">
        <f>INDEX('9oferty p.'!B3:G28,MATCH(13,B4:B29,0),2)</f>
        <v>64</v>
      </c>
      <c r="E16" s="61">
        <f>INDEX('9oferty p.'!B3:G28,MATCH(13,B4:B29,0),3)</f>
        <v>86</v>
      </c>
      <c r="F16" s="6">
        <f>INDEX('9oferty p.'!B3:G28,MATCH(13,B4:B29,0),4)</f>
        <v>-22</v>
      </c>
      <c r="G16" s="61">
        <f>INDEX('9oferty p.'!B3:G28,MATCH(13,B4:B29,0),5)</f>
        <v>120</v>
      </c>
      <c r="H16" s="6">
        <f>INDEX('9oferty p.'!B3:G28,MATCH(13,B4:B29,0),6)</f>
        <v>-56</v>
      </c>
    </row>
    <row r="17" spans="2:8" x14ac:dyDescent="0.2">
      <c r="B17" s="6">
        <f>RANK('9oferty p.'!C16,'9oferty p.'!$C$3:'9oferty p.'!$C$28,1)+COUNTIF('9oferty p.'!$C$3:'9oferty p.'!C16,'9oferty p.'!C16)-1</f>
        <v>2</v>
      </c>
      <c r="C17" s="5" t="str">
        <f>INDEX('9oferty p.'!B3:G28,MATCH(14,B4:B29,0),1)</f>
        <v>kolbuszowski</v>
      </c>
      <c r="D17" s="6">
        <f>INDEX('9oferty p.'!B3:G28,MATCH(14,B4:B29,0),2)</f>
        <v>68</v>
      </c>
      <c r="E17" s="61">
        <f>INDEX('9oferty p.'!B3:G28,MATCH(14,B4:B29,0),3)</f>
        <v>71</v>
      </c>
      <c r="F17" s="6">
        <f>INDEX('9oferty p.'!B3:G28,MATCH(14,B4:B29,0),4)</f>
        <v>-3</v>
      </c>
      <c r="G17" s="61">
        <f>INDEX('9oferty p.'!B3:G28,MATCH(14,B4:B29,0),5)</f>
        <v>128</v>
      </c>
      <c r="H17" s="6">
        <f>INDEX('9oferty p.'!B3:G28,MATCH(14,B4:B29,0),6)</f>
        <v>-60</v>
      </c>
    </row>
    <row r="18" spans="2:8" x14ac:dyDescent="0.2">
      <c r="B18" s="6">
        <f>RANK('9oferty p.'!C17,'9oferty p.'!$C$3:'9oferty p.'!$C$28,1)+COUNTIF('9oferty p.'!$C$3:'9oferty p.'!C17,'9oferty p.'!C17)-1</f>
        <v>23</v>
      </c>
      <c r="C18" s="5" t="str">
        <f>INDEX('9oferty p.'!B3:G28,MATCH(15,B4:B29,0),1)</f>
        <v xml:space="preserve">tarnobrzeski </v>
      </c>
      <c r="D18" s="6">
        <f>INDEX('9oferty p.'!B3:G28,MATCH(15,B4:B29,0),2)</f>
        <v>90</v>
      </c>
      <c r="E18" s="61">
        <f>INDEX('9oferty p.'!B3:G28,MATCH(15,B4:B29,0),3)</f>
        <v>103</v>
      </c>
      <c r="F18" s="6">
        <f>INDEX('9oferty p.'!B3:G28,MATCH(15,B4:B29,0),4)</f>
        <v>-13</v>
      </c>
      <c r="G18" s="61">
        <f>INDEX('9oferty p.'!B3:G28,MATCH(15,B4:B29,0),5)</f>
        <v>55</v>
      </c>
      <c r="H18" s="6">
        <f>INDEX('9oferty p.'!B3:G28,MATCH(15,B4:B29,0),6)</f>
        <v>35</v>
      </c>
    </row>
    <row r="19" spans="2:8" x14ac:dyDescent="0.2">
      <c r="B19" s="6">
        <f>RANK('9oferty p.'!C18,'9oferty p.'!$C$3:'9oferty p.'!$C$28,1)+COUNTIF('9oferty p.'!$C$3:'9oferty p.'!C18,'9oferty p.'!C18)-1</f>
        <v>19</v>
      </c>
      <c r="C19" s="5" t="str">
        <f>INDEX('9oferty p.'!B3:G28,MATCH(16,B4:B29,0),1)</f>
        <v>leżajski</v>
      </c>
      <c r="D19" s="6">
        <f>INDEX('9oferty p.'!B3:G28,MATCH(16,B4:B29,0),2)</f>
        <v>97</v>
      </c>
      <c r="E19" s="61">
        <f>INDEX('9oferty p.'!B3:G28,MATCH(16,B4:B29,0),3)</f>
        <v>62</v>
      </c>
      <c r="F19" s="6">
        <f>INDEX('9oferty p.'!B3:G28,MATCH(16,B4:B29,0),4)</f>
        <v>35</v>
      </c>
      <c r="G19" s="61">
        <f>INDEX('9oferty p.'!B3:G28,MATCH(16,B4:B29,0),5)</f>
        <v>49</v>
      </c>
      <c r="H19" s="6">
        <f>INDEX('9oferty p.'!B3:G28,MATCH(16,B4:B29,0),6)</f>
        <v>48</v>
      </c>
    </row>
    <row r="20" spans="2:8" x14ac:dyDescent="0.2">
      <c r="B20" s="6">
        <f>RANK('9oferty p.'!C19,'9oferty p.'!$C$3:'9oferty p.'!$C$28,1)+COUNTIF('9oferty p.'!$C$3:'9oferty p.'!C19,'9oferty p.'!C19)-1</f>
        <v>17</v>
      </c>
      <c r="C20" s="5" t="str">
        <f>INDEX('9oferty p.'!B3:G28,MATCH(17,B4:B29,0),1)</f>
        <v>rzeszowski</v>
      </c>
      <c r="D20" s="6">
        <f>INDEX('9oferty p.'!B3:G28,MATCH(17,B4:B29,0),2)</f>
        <v>103</v>
      </c>
      <c r="E20" s="61">
        <f>INDEX('9oferty p.'!B3:G28,MATCH(17,B4:B29,0),3)</f>
        <v>154</v>
      </c>
      <c r="F20" s="6">
        <f>INDEX('9oferty p.'!B3:G28,MATCH(17,B4:B29,0),4)</f>
        <v>-51</v>
      </c>
      <c r="G20" s="61">
        <f>INDEX('9oferty p.'!B3:G28,MATCH(17,B4:B29,0),5)</f>
        <v>117</v>
      </c>
      <c r="H20" s="6">
        <f>INDEX('9oferty p.'!B3:G28,MATCH(17,B4:B29,0),6)</f>
        <v>-14</v>
      </c>
    </row>
    <row r="21" spans="2:8" x14ac:dyDescent="0.2">
      <c r="B21" s="6">
        <f>RANK('9oferty p.'!C20,'9oferty p.'!$C$3:'9oferty p.'!$C$28,1)+COUNTIF('9oferty p.'!$C$3:'9oferty p.'!C20,'9oferty p.'!C20)-1</f>
        <v>11</v>
      </c>
      <c r="C21" s="5" t="str">
        <f>INDEX('9oferty p.'!B3:G28,MATCH(18,B4:B29,0),1)</f>
        <v>stalowowolski</v>
      </c>
      <c r="D21" s="6">
        <f>INDEX('9oferty p.'!B3:G28,MATCH(18,B4:B29,0),2)</f>
        <v>150</v>
      </c>
      <c r="E21" s="61">
        <f>INDEX('9oferty p.'!B3:G28,MATCH(18,B4:B29,0),3)</f>
        <v>102</v>
      </c>
      <c r="F21" s="6">
        <f>INDEX('9oferty p.'!B3:G28,MATCH(18,B4:B29,0),4)</f>
        <v>48</v>
      </c>
      <c r="G21" s="61">
        <f>INDEX('9oferty p.'!B3:G28,MATCH(18,B4:B29,0),5)</f>
        <v>207</v>
      </c>
      <c r="H21" s="6">
        <f>INDEX('9oferty p.'!B3:G28,MATCH(18,B4:B29,0),6)</f>
        <v>-57</v>
      </c>
    </row>
    <row r="22" spans="2:8" x14ac:dyDescent="0.2">
      <c r="B22" s="6">
        <f>RANK('9oferty p.'!C21,'9oferty p.'!$C$3:'9oferty p.'!$C$28,1)+COUNTIF('9oferty p.'!$C$3:'9oferty p.'!C21,'9oferty p.'!C21)-1</f>
        <v>18</v>
      </c>
      <c r="C22" s="5" t="str">
        <f>INDEX('9oferty p.'!B3:G28,MATCH(19,B4:B29,0),1)</f>
        <v>ropczycko-sędziszowski</v>
      </c>
      <c r="D22" s="6">
        <f>INDEX('9oferty p.'!B3:G28,MATCH(19,B4:B29,0),2)</f>
        <v>153</v>
      </c>
      <c r="E22" s="61">
        <f>INDEX('9oferty p.'!B3:G28,MATCH(19,B4:B29,0),3)</f>
        <v>188</v>
      </c>
      <c r="F22" s="6">
        <f>INDEX('9oferty p.'!B3:G28,MATCH(19,B4:B29,0),4)</f>
        <v>-35</v>
      </c>
      <c r="G22" s="61">
        <f>INDEX('9oferty p.'!B3:G28,MATCH(19,B4:B29,0),5)</f>
        <v>172</v>
      </c>
      <c r="H22" s="6">
        <f>INDEX('9oferty p.'!B3:G28,MATCH(19,B4:B29,0),6)</f>
        <v>-19</v>
      </c>
    </row>
    <row r="23" spans="2:8" x14ac:dyDescent="0.2">
      <c r="B23" s="6">
        <f>RANK('9oferty p.'!C22,'9oferty p.'!$C$3:'9oferty p.'!$C$28,1)+COUNTIF('9oferty p.'!$C$3:'9oferty p.'!C22,'9oferty p.'!C22)-1</f>
        <v>12</v>
      </c>
      <c r="C23" s="5" t="str">
        <f>INDEX('9oferty p.'!B3:G28,MATCH(20,B4:B29,0),1)</f>
        <v>dębicki</v>
      </c>
      <c r="D23" s="6">
        <f>INDEX('9oferty p.'!B3:G28,MATCH(20,B4:B29,0),2)</f>
        <v>212</v>
      </c>
      <c r="E23" s="61">
        <f>INDEX('9oferty p.'!B3:G28,MATCH(20,B4:B29,0),3)</f>
        <v>342</v>
      </c>
      <c r="F23" s="6">
        <f>INDEX('9oferty p.'!B3:G28,MATCH(20,B4:B29,0),4)</f>
        <v>-130</v>
      </c>
      <c r="G23" s="61">
        <f>INDEX('9oferty p.'!B3:G28,MATCH(20,B4:B29,0),5)</f>
        <v>226</v>
      </c>
      <c r="H23" s="6">
        <f>INDEX('9oferty p.'!B3:G28,MATCH(20,B4:B29,0),6)</f>
        <v>-14</v>
      </c>
    </row>
    <row r="24" spans="2:8" x14ac:dyDescent="0.2">
      <c r="B24" s="6">
        <f>RANK('9oferty p.'!C23,'9oferty p.'!$C$3:'9oferty p.'!$C$28,1)+COUNTIF('9oferty p.'!$C$3:'9oferty p.'!C23,'9oferty p.'!C23)-1</f>
        <v>15</v>
      </c>
      <c r="C24" s="5" t="str">
        <f>INDEX('9oferty p.'!B3:G28,MATCH(21,B4:B29,0),1)</f>
        <v>jasielski</v>
      </c>
      <c r="D24" s="6">
        <f>INDEX('9oferty p.'!B3:G28,MATCH(21,B4:B29,0),2)</f>
        <v>243</v>
      </c>
      <c r="E24" s="61">
        <f>INDEX('9oferty p.'!B3:G28,MATCH(21,B4:B29,0),3)</f>
        <v>232</v>
      </c>
      <c r="F24" s="6">
        <f>INDEX('9oferty p.'!B3:G28,MATCH(21,B4:B29,0),4)</f>
        <v>11</v>
      </c>
      <c r="G24" s="61">
        <f>INDEX('9oferty p.'!B3:G28,MATCH(21,B4:B29,0),5)</f>
        <v>277</v>
      </c>
      <c r="H24" s="6">
        <f>INDEX('9oferty p.'!B3:G28,MATCH(21,B4:B29,0),6)</f>
        <v>-34</v>
      </c>
    </row>
    <row r="25" spans="2:8" x14ac:dyDescent="0.2">
      <c r="B25" s="6">
        <f>RANK('9oferty p.'!C24,'9oferty p.'!$C$3:'9oferty p.'!$C$28,1)+COUNTIF('9oferty p.'!$C$3:'9oferty p.'!C24,'9oferty p.'!C24)-1</f>
        <v>6</v>
      </c>
      <c r="C25" s="5" t="str">
        <f>INDEX('9oferty p.'!B3:G28,MATCH(22,B4:B29,0),1)</f>
        <v>mielecki</v>
      </c>
      <c r="D25" s="6">
        <f>INDEX('9oferty p.'!B3:G28,MATCH(22,B4:B29,0),2)</f>
        <v>312</v>
      </c>
      <c r="E25" s="61">
        <f>INDEX('9oferty p.'!B3:G28,MATCH(22,B4:B29,0),3)</f>
        <v>389</v>
      </c>
      <c r="F25" s="6">
        <f>INDEX('9oferty p.'!B3:G28,MATCH(22,B4:B29,0),4)</f>
        <v>-77</v>
      </c>
      <c r="G25" s="61">
        <f>INDEX('9oferty p.'!B3:G28,MATCH(22,B4:B29,0),5)</f>
        <v>287</v>
      </c>
      <c r="H25" s="6">
        <f>INDEX('9oferty p.'!B3:G28,MATCH(22,B4:B29,0),6)</f>
        <v>25</v>
      </c>
    </row>
    <row r="26" spans="2:8" x14ac:dyDescent="0.2">
      <c r="B26" s="6">
        <f>RANK('9oferty p.'!C25,'9oferty p.'!$C$3:'9oferty p.'!$C$28,1)+COUNTIF('9oferty p.'!$C$3:'9oferty p.'!C25,'9oferty p.'!C25)-1</f>
        <v>5</v>
      </c>
      <c r="C26" s="5" t="str">
        <f>INDEX('9oferty p.'!B3:G28,MATCH(23,B4:B29,0),1)</f>
        <v>przeworski</v>
      </c>
      <c r="D26" s="6">
        <f>INDEX('9oferty p.'!B3:G28,MATCH(23,B4:B29,0),2)</f>
        <v>312</v>
      </c>
      <c r="E26" s="61">
        <f>INDEX('9oferty p.'!B3:G28,MATCH(23,B4:B29,0),3)</f>
        <v>228</v>
      </c>
      <c r="F26" s="6">
        <f>INDEX('9oferty p.'!B3:G28,MATCH(23,B4:B29,0),4)</f>
        <v>84</v>
      </c>
      <c r="G26" s="61">
        <f>INDEX('9oferty p.'!B3:G28,MATCH(23,B4:B29,0),5)</f>
        <v>210</v>
      </c>
      <c r="H26" s="6">
        <f>INDEX('9oferty p.'!B3:G28,MATCH(23,B4:B29,0),6)</f>
        <v>102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jarosławski</v>
      </c>
      <c r="D27" s="6">
        <f>INDEX('9oferty p.'!B3:G28,MATCH(24,B4:B29,0),2)</f>
        <v>638</v>
      </c>
      <c r="E27" s="61">
        <f>INDEX('9oferty p.'!B3:G28,MATCH(24,B4:B29,0),3)</f>
        <v>322</v>
      </c>
      <c r="F27" s="6">
        <f>INDEX('9oferty p.'!B3:G28,MATCH(24,B4:B29,0),4)</f>
        <v>316</v>
      </c>
      <c r="G27" s="61">
        <f>INDEX('9oferty p.'!B3:G28,MATCH(24,B4:B29,0),5)</f>
        <v>150</v>
      </c>
      <c r="H27" s="6">
        <f>INDEX('9oferty p.'!B3:G28,MATCH(24,B4:B29,0),6)</f>
        <v>488</v>
      </c>
    </row>
    <row r="28" spans="2:8" x14ac:dyDescent="0.2">
      <c r="B28" s="6">
        <f>RANK('9oferty p.'!C27,'9oferty p.'!$C$3:'9oferty p.'!$C$28,1)+COUNTIF('9oferty p.'!$C$3:'9oferty p.'!C27,'9oferty p.'!C27)-1</f>
        <v>13</v>
      </c>
      <c r="C28" s="5" t="str">
        <f>INDEX('9oferty p.'!B3:G28,MATCH(25,B4:B29,0),1)</f>
        <v>Rzeszów</v>
      </c>
      <c r="D28" s="6">
        <f>INDEX('9oferty p.'!B3:G28,MATCH(25,B4:B29,0),2)</f>
        <v>727</v>
      </c>
      <c r="E28" s="61">
        <f>INDEX('9oferty p.'!B3:G28,MATCH(25,B4:B29,0),3)</f>
        <v>621</v>
      </c>
      <c r="F28" s="6">
        <f>INDEX('9oferty p.'!B3:G28,MATCH(25,B4:B29,0),4)</f>
        <v>106</v>
      </c>
      <c r="G28" s="61">
        <f>INDEX('9oferty p.'!B3:G28,MATCH(25,B4:B29,0),5)</f>
        <v>473</v>
      </c>
      <c r="H28" s="6">
        <f>INDEX('9oferty p.'!B3:G28,MATCH(25,B4:B29,0),6)</f>
        <v>254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3630</v>
      </c>
      <c r="E29" s="63">
        <f>INDEX('9oferty p.'!B3:G28,MATCH(26,B4:B29,0),3)</f>
        <v>3573</v>
      </c>
      <c r="F29" s="59">
        <f>INDEX('9oferty p.'!B3:G28,MATCH(26,B4:B29,0),4)</f>
        <v>57</v>
      </c>
      <c r="G29" s="63">
        <f>INDEX('9oferty p.'!B3:G28,MATCH(26,B4:B29,0),5)</f>
        <v>3247</v>
      </c>
      <c r="H29" s="59">
        <f>INDEX('9oferty p.'!B3:G28,MATCH(26,B4:B29,0),6)</f>
        <v>383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90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91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150</v>
      </c>
      <c r="D3" s="57" t="s">
        <v>120</v>
      </c>
      <c r="E3" s="56" t="s">
        <v>28</v>
      </c>
      <c r="F3" s="57" t="s">
        <v>149</v>
      </c>
      <c r="G3" s="56" t="s">
        <v>26</v>
      </c>
    </row>
    <row r="4" spans="2:11" x14ac:dyDescent="0.2">
      <c r="B4" s="5" t="s">
        <v>0</v>
      </c>
      <c r="C4" s="45">
        <v>6</v>
      </c>
      <c r="D4" s="61">
        <v>3</v>
      </c>
      <c r="E4" s="45">
        <f t="shared" ref="E4:E28" si="0">SUM(C4)-D4</f>
        <v>3</v>
      </c>
      <c r="F4" s="61">
        <v>4</v>
      </c>
      <c r="G4" s="45">
        <f t="shared" ref="G4:G28" si="1">SUM(C4)-F4</f>
        <v>2</v>
      </c>
      <c r="H4" s="7"/>
    </row>
    <row r="5" spans="2:11" x14ac:dyDescent="0.2">
      <c r="B5" s="5" t="s">
        <v>1</v>
      </c>
      <c r="C5" s="45">
        <v>23</v>
      </c>
      <c r="D5" s="61">
        <v>35</v>
      </c>
      <c r="E5" s="45">
        <f t="shared" si="0"/>
        <v>-12</v>
      </c>
      <c r="F5" s="61">
        <v>71</v>
      </c>
      <c r="G5" s="45">
        <f t="shared" si="1"/>
        <v>-48</v>
      </c>
      <c r="H5" s="7"/>
    </row>
    <row r="6" spans="2:11" x14ac:dyDescent="0.2">
      <c r="B6" s="5" t="s">
        <v>2</v>
      </c>
      <c r="C6" s="45">
        <v>19</v>
      </c>
      <c r="D6" s="61">
        <v>46</v>
      </c>
      <c r="E6" s="45">
        <f t="shared" si="0"/>
        <v>-27</v>
      </c>
      <c r="F6" s="61">
        <v>19</v>
      </c>
      <c r="G6" s="45">
        <f t="shared" si="1"/>
        <v>0</v>
      </c>
      <c r="H6" s="7"/>
    </row>
    <row r="7" spans="2:11" x14ac:dyDescent="0.2">
      <c r="B7" s="5" t="s">
        <v>3</v>
      </c>
      <c r="C7" s="45">
        <v>159</v>
      </c>
      <c r="D7" s="61">
        <v>67</v>
      </c>
      <c r="E7" s="45">
        <f t="shared" si="0"/>
        <v>92</v>
      </c>
      <c r="F7" s="61">
        <v>36</v>
      </c>
      <c r="G7" s="45">
        <f t="shared" si="1"/>
        <v>123</v>
      </c>
      <c r="H7" s="7"/>
    </row>
    <row r="8" spans="2:11" x14ac:dyDescent="0.2">
      <c r="B8" s="5" t="s">
        <v>4</v>
      </c>
      <c r="C8" s="45">
        <v>40</v>
      </c>
      <c r="D8" s="61">
        <v>48</v>
      </c>
      <c r="E8" s="45">
        <f t="shared" si="0"/>
        <v>-8</v>
      </c>
      <c r="F8" s="61">
        <v>40</v>
      </c>
      <c r="G8" s="45">
        <f t="shared" si="1"/>
        <v>0</v>
      </c>
      <c r="H8" s="7"/>
    </row>
    <row r="9" spans="2:11" x14ac:dyDescent="0.2">
      <c r="B9" s="5" t="s">
        <v>5</v>
      </c>
      <c r="C9" s="45">
        <v>26</v>
      </c>
      <c r="D9" s="61">
        <v>43</v>
      </c>
      <c r="E9" s="45">
        <f t="shared" si="0"/>
        <v>-17</v>
      </c>
      <c r="F9" s="61">
        <v>38</v>
      </c>
      <c r="G9" s="45">
        <f t="shared" si="1"/>
        <v>-12</v>
      </c>
      <c r="H9" s="7"/>
    </row>
    <row r="10" spans="2:11" x14ac:dyDescent="0.2">
      <c r="B10" s="9" t="s">
        <v>6</v>
      </c>
      <c r="C10" s="45">
        <v>17</v>
      </c>
      <c r="D10" s="61">
        <v>18</v>
      </c>
      <c r="E10" s="45">
        <f t="shared" si="0"/>
        <v>-1</v>
      </c>
      <c r="F10" s="61">
        <v>30</v>
      </c>
      <c r="G10" s="45">
        <f t="shared" si="1"/>
        <v>-13</v>
      </c>
      <c r="H10" s="7"/>
    </row>
    <row r="11" spans="2:11" x14ac:dyDescent="0.2">
      <c r="B11" s="5" t="s">
        <v>7</v>
      </c>
      <c r="C11" s="45">
        <v>5</v>
      </c>
      <c r="D11" s="61">
        <v>2</v>
      </c>
      <c r="E11" s="45">
        <f t="shared" si="0"/>
        <v>3</v>
      </c>
      <c r="F11" s="61">
        <v>7</v>
      </c>
      <c r="G11" s="45">
        <f t="shared" si="1"/>
        <v>-2</v>
      </c>
      <c r="H11" s="7"/>
    </row>
    <row r="12" spans="2:11" x14ac:dyDescent="0.2">
      <c r="B12" s="5" t="s">
        <v>8</v>
      </c>
      <c r="C12" s="45">
        <v>23</v>
      </c>
      <c r="D12" s="61">
        <v>5</v>
      </c>
      <c r="E12" s="45">
        <f t="shared" si="0"/>
        <v>18</v>
      </c>
      <c r="F12" s="61">
        <v>3</v>
      </c>
      <c r="G12" s="45">
        <f t="shared" si="1"/>
        <v>20</v>
      </c>
      <c r="H12" s="7"/>
    </row>
    <row r="13" spans="2:11" x14ac:dyDescent="0.2">
      <c r="B13" s="5" t="s">
        <v>9</v>
      </c>
      <c r="C13" s="45">
        <v>29</v>
      </c>
      <c r="D13" s="61">
        <v>45</v>
      </c>
      <c r="E13" s="45">
        <f t="shared" si="0"/>
        <v>-16</v>
      </c>
      <c r="F13" s="61">
        <v>18</v>
      </c>
      <c r="G13" s="45">
        <f t="shared" si="1"/>
        <v>11</v>
      </c>
      <c r="H13" s="7"/>
    </row>
    <row r="14" spans="2:11" x14ac:dyDescent="0.2">
      <c r="B14" s="5" t="s">
        <v>10</v>
      </c>
      <c r="C14" s="45">
        <v>8</v>
      </c>
      <c r="D14" s="61">
        <v>4</v>
      </c>
      <c r="E14" s="45">
        <f t="shared" si="0"/>
        <v>4</v>
      </c>
      <c r="F14" s="61">
        <v>27</v>
      </c>
      <c r="G14" s="45">
        <f t="shared" si="1"/>
        <v>-19</v>
      </c>
      <c r="H14" s="7"/>
    </row>
    <row r="15" spans="2:11" x14ac:dyDescent="0.2">
      <c r="B15" s="5" t="s">
        <v>11</v>
      </c>
      <c r="C15" s="45">
        <v>21</v>
      </c>
      <c r="D15" s="61">
        <v>18</v>
      </c>
      <c r="E15" s="45">
        <f t="shared" si="0"/>
        <v>3</v>
      </c>
      <c r="F15" s="61">
        <v>130</v>
      </c>
      <c r="G15" s="45">
        <f t="shared" si="1"/>
        <v>-109</v>
      </c>
      <c r="H15" s="7"/>
    </row>
    <row r="16" spans="2:11" x14ac:dyDescent="0.2">
      <c r="B16" s="5" t="s">
        <v>12</v>
      </c>
      <c r="C16" s="45">
        <v>34</v>
      </c>
      <c r="D16" s="61">
        <v>44</v>
      </c>
      <c r="E16" s="45">
        <f t="shared" si="0"/>
        <v>-10</v>
      </c>
      <c r="F16" s="61">
        <v>57</v>
      </c>
      <c r="G16" s="45">
        <f t="shared" si="1"/>
        <v>-23</v>
      </c>
      <c r="H16" s="7"/>
    </row>
    <row r="17" spans="2:8" x14ac:dyDescent="0.2">
      <c r="B17" s="5" t="s">
        <v>13</v>
      </c>
      <c r="C17" s="45">
        <v>4</v>
      </c>
      <c r="D17" s="61">
        <v>22</v>
      </c>
      <c r="E17" s="45">
        <f t="shared" si="0"/>
        <v>-18</v>
      </c>
      <c r="F17" s="61">
        <v>22</v>
      </c>
      <c r="G17" s="45">
        <f t="shared" si="1"/>
        <v>-18</v>
      </c>
      <c r="H17" s="7"/>
    </row>
    <row r="18" spans="2:8" x14ac:dyDescent="0.2">
      <c r="B18" s="5" t="s">
        <v>14</v>
      </c>
      <c r="C18" s="45">
        <v>139</v>
      </c>
      <c r="D18" s="61">
        <v>82</v>
      </c>
      <c r="E18" s="45">
        <f t="shared" si="0"/>
        <v>57</v>
      </c>
      <c r="F18" s="61">
        <v>101</v>
      </c>
      <c r="G18" s="45">
        <f t="shared" si="1"/>
        <v>38</v>
      </c>
      <c r="H18" s="7"/>
    </row>
    <row r="19" spans="2:8" x14ac:dyDescent="0.2">
      <c r="B19" s="5" t="s">
        <v>15</v>
      </c>
      <c r="C19" s="45">
        <v>55</v>
      </c>
      <c r="D19" s="61">
        <v>64</v>
      </c>
      <c r="E19" s="45">
        <f t="shared" si="0"/>
        <v>-9</v>
      </c>
      <c r="F19" s="61">
        <v>61</v>
      </c>
      <c r="G19" s="45">
        <f t="shared" si="1"/>
        <v>-6</v>
      </c>
      <c r="H19" s="7"/>
    </row>
    <row r="20" spans="2:8" x14ac:dyDescent="0.2">
      <c r="B20" s="5" t="s">
        <v>16</v>
      </c>
      <c r="C20" s="45">
        <v>26</v>
      </c>
      <c r="D20" s="61">
        <v>19</v>
      </c>
      <c r="E20" s="45">
        <f t="shared" si="0"/>
        <v>7</v>
      </c>
      <c r="F20" s="61">
        <v>26</v>
      </c>
      <c r="G20" s="45">
        <f t="shared" si="1"/>
        <v>0</v>
      </c>
      <c r="H20" s="7"/>
    </row>
    <row r="21" spans="2:8" x14ac:dyDescent="0.2">
      <c r="B21" s="5" t="s">
        <v>17</v>
      </c>
      <c r="C21" s="45">
        <v>47</v>
      </c>
      <c r="D21" s="61">
        <v>57</v>
      </c>
      <c r="E21" s="45">
        <f t="shared" si="0"/>
        <v>-10</v>
      </c>
      <c r="F21" s="61">
        <v>33</v>
      </c>
      <c r="G21" s="45">
        <f t="shared" si="1"/>
        <v>14</v>
      </c>
      <c r="H21" s="7"/>
    </row>
    <row r="22" spans="2:8" x14ac:dyDescent="0.2">
      <c r="B22" s="5" t="s">
        <v>18</v>
      </c>
      <c r="C22" s="45">
        <v>19</v>
      </c>
      <c r="D22" s="61">
        <v>17</v>
      </c>
      <c r="E22" s="45">
        <f t="shared" si="0"/>
        <v>2</v>
      </c>
      <c r="F22" s="61">
        <v>47</v>
      </c>
      <c r="G22" s="45">
        <f t="shared" si="1"/>
        <v>-28</v>
      </c>
      <c r="H22" s="7"/>
    </row>
    <row r="23" spans="2:8" x14ac:dyDescent="0.2">
      <c r="B23" s="5" t="s">
        <v>19</v>
      </c>
      <c r="C23" s="45">
        <v>26</v>
      </c>
      <c r="D23" s="61">
        <v>71</v>
      </c>
      <c r="E23" s="45">
        <f t="shared" si="0"/>
        <v>-45</v>
      </c>
      <c r="F23" s="61">
        <v>70</v>
      </c>
      <c r="G23" s="45">
        <f t="shared" si="1"/>
        <v>-44</v>
      </c>
      <c r="H23" s="7"/>
    </row>
    <row r="24" spans="2:8" x14ac:dyDescent="0.2">
      <c r="B24" s="5" t="s">
        <v>20</v>
      </c>
      <c r="C24" s="45">
        <v>9</v>
      </c>
      <c r="D24" s="61">
        <v>31</v>
      </c>
      <c r="E24" s="45">
        <f t="shared" si="0"/>
        <v>-22</v>
      </c>
      <c r="F24" s="61">
        <v>19</v>
      </c>
      <c r="G24" s="45">
        <f t="shared" si="1"/>
        <v>-10</v>
      </c>
      <c r="H24" s="7"/>
    </row>
    <row r="25" spans="2:8" x14ac:dyDescent="0.2">
      <c r="B25" s="5" t="s">
        <v>21</v>
      </c>
      <c r="C25" s="45">
        <v>10</v>
      </c>
      <c r="D25" s="61">
        <v>28</v>
      </c>
      <c r="E25" s="45">
        <f t="shared" si="0"/>
        <v>-18</v>
      </c>
      <c r="F25" s="61">
        <v>26</v>
      </c>
      <c r="G25" s="45">
        <f t="shared" si="1"/>
        <v>-16</v>
      </c>
      <c r="H25" s="7"/>
    </row>
    <row r="26" spans="2:8" x14ac:dyDescent="0.2">
      <c r="B26" s="5" t="s">
        <v>22</v>
      </c>
      <c r="C26" s="45">
        <v>16</v>
      </c>
      <c r="D26" s="61">
        <v>28</v>
      </c>
      <c r="E26" s="45">
        <f t="shared" si="0"/>
        <v>-12</v>
      </c>
      <c r="F26" s="61">
        <v>45</v>
      </c>
      <c r="G26" s="45">
        <f t="shared" si="1"/>
        <v>-29</v>
      </c>
      <c r="H26" s="7"/>
    </row>
    <row r="27" spans="2:8" x14ac:dyDescent="0.2">
      <c r="B27" s="5" t="s">
        <v>23</v>
      </c>
      <c r="C27" s="45">
        <v>67</v>
      </c>
      <c r="D27" s="61">
        <v>50</v>
      </c>
      <c r="E27" s="45">
        <f t="shared" si="0"/>
        <v>17</v>
      </c>
      <c r="F27" s="61">
        <v>78</v>
      </c>
      <c r="G27" s="45">
        <f t="shared" si="1"/>
        <v>-11</v>
      </c>
      <c r="H27" s="7"/>
    </row>
    <row r="28" spans="2:8" x14ac:dyDescent="0.2">
      <c r="B28" s="5" t="s">
        <v>24</v>
      </c>
      <c r="C28" s="45">
        <v>19</v>
      </c>
      <c r="D28" s="61">
        <v>13</v>
      </c>
      <c r="E28" s="45">
        <f t="shared" si="0"/>
        <v>6</v>
      </c>
      <c r="F28" s="61">
        <v>21</v>
      </c>
      <c r="G28" s="45">
        <f t="shared" si="1"/>
        <v>-2</v>
      </c>
      <c r="H28" s="7"/>
    </row>
    <row r="29" spans="2:8" ht="15" x14ac:dyDescent="0.25">
      <c r="B29" s="58" t="s">
        <v>25</v>
      </c>
      <c r="C29" s="77">
        <f>SUM(C4:C28)</f>
        <v>847</v>
      </c>
      <c r="D29" s="63">
        <f>SUM(D4:D28)</f>
        <v>860</v>
      </c>
      <c r="E29" s="77">
        <f>SUM(E4:E28)</f>
        <v>-13</v>
      </c>
      <c r="F29" s="63">
        <f>SUM(F4:F28)</f>
        <v>1029</v>
      </c>
      <c r="G29" s="77">
        <f>SUM(G4:G28)</f>
        <v>-182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C30"/>
  <sheetViews>
    <sheetView zoomScale="80" zoomScaleNormal="80" workbookViewId="0">
      <selection activeCell="W17" sqref="W17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3.5703125" style="3" customWidth="1"/>
    <col min="4" max="4" width="15" style="3" customWidth="1"/>
    <col min="5" max="5" width="14.42578125" style="3" customWidth="1"/>
    <col min="6" max="6" width="14.85546875" style="3" customWidth="1"/>
    <col min="7" max="7" width="15.5703125" style="3" customWidth="1"/>
    <col min="8" max="8" width="17" style="3" customWidth="1"/>
    <col min="9" max="9" width="3.5703125" style="3" customWidth="1"/>
    <col min="10" max="10" width="4.1406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9.140625" style="3"/>
    <col min="23" max="23" width="16.5703125" style="3" customWidth="1"/>
    <col min="24" max="24" width="16.42578125" style="3" customWidth="1"/>
    <col min="25" max="25" width="4.7109375" style="3" customWidth="1"/>
    <col min="26" max="26" width="7.140625" style="3" customWidth="1"/>
    <col min="27" max="27" width="9.140625" style="3"/>
    <col min="28" max="28" width="18.7109375" style="3" customWidth="1"/>
    <col min="29" max="16384" width="9.140625" style="3"/>
  </cols>
  <sheetData>
    <row r="1" spans="2:29" x14ac:dyDescent="0.2">
      <c r="B1" s="2" t="s">
        <v>32</v>
      </c>
      <c r="V1" s="2" t="s">
        <v>113</v>
      </c>
      <c r="AA1" s="2" t="s">
        <v>114</v>
      </c>
    </row>
    <row r="2" spans="2:29" ht="15" x14ac:dyDescent="0.2">
      <c r="C2" s="20"/>
      <c r="D2" s="21"/>
      <c r="W2" s="20"/>
      <c r="X2" s="21"/>
      <c r="Y2" s="21"/>
      <c r="AB2" s="20"/>
      <c r="AC2" s="21"/>
    </row>
    <row r="3" spans="2:29" ht="69" customHeight="1" x14ac:dyDescent="0.2">
      <c r="B3" s="62" t="s">
        <v>86</v>
      </c>
      <c r="C3" s="55" t="str">
        <f>T('1bezr.'!B2)</f>
        <v>powiaty</v>
      </c>
      <c r="D3" s="56" t="str">
        <f>T('1bezr.'!C2)</f>
        <v>liczba bezrobotnych ogółem stan na 30 XI '23 r.</v>
      </c>
      <c r="E3" s="57" t="str">
        <f>T('1bezr.'!D2)</f>
        <v>liczba bezrobotnych ogółem stan na 31 X '23 r.</v>
      </c>
      <c r="F3" s="56" t="str">
        <f>T('1bezr.'!E2)</f>
        <v>wzrost/spadek do miesiąca poprzedniego</v>
      </c>
      <c r="G3" s="57" t="str">
        <f>T('1bezr.'!F2)</f>
        <v>liczba bezrobotnych ogółem stan na 30 XI '22 r.</v>
      </c>
      <c r="H3" s="56" t="str">
        <f>T('1bezr.'!G2)</f>
        <v>wzrost/spadek do analogicznego okresu ubr.</v>
      </c>
      <c r="V3" s="62" t="s">
        <v>86</v>
      </c>
      <c r="W3" s="55" t="str">
        <f>T('1bezr.'!B2)</f>
        <v>powiaty</v>
      </c>
      <c r="X3" s="56" t="str">
        <f>T('1bezr.'!E2)</f>
        <v>wzrost/spadek do miesiąca poprzedniego</v>
      </c>
      <c r="Y3" s="56"/>
      <c r="AA3" s="62" t="s">
        <v>86</v>
      </c>
      <c r="AB3" s="55" t="str">
        <f>T('1bezr.'!C2)</f>
        <v>liczba bezrobotnych ogółem stan na 30 XI '23 r.</v>
      </c>
      <c r="AC3" s="56" t="str">
        <f>T('1bezr.'!I2)</f>
        <v/>
      </c>
    </row>
    <row r="4" spans="2:29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774</v>
      </c>
      <c r="E4" s="61">
        <f>INDEX('1bezr.'!B3:G28,MATCH(1,B4:B29,0),3)</f>
        <v>765</v>
      </c>
      <c r="F4" s="179">
        <f>INDEX('1bezr.'!B3:G28,MATCH(1,B4:B29,0),4)</f>
        <v>9</v>
      </c>
      <c r="G4" s="61">
        <f>INDEX('1bezr.'!B3:G28,MATCH(1,B4:B29,0),5)</f>
        <v>699</v>
      </c>
      <c r="H4" s="6">
        <f>INDEX('1bezr.'!B3:G28,MATCH(1,B4:B29,0),6)</f>
        <v>75</v>
      </c>
      <c r="V4" s="6">
        <f>RANK('1bezr.'!E3,'1bezr.'!$E$3:'1bezr.'!$E$28,1)+COUNTIF('1bezr.'!$E$3:'1bezr.'!E3,'1bezr.'!E3)-1</f>
        <v>15</v>
      </c>
      <c r="W4" s="79" t="str">
        <f>INDEX('1bezr.'!B3:G28,MATCH(1,V4:V29,0),1)</f>
        <v>ropczycko-sędziszowski</v>
      </c>
      <c r="X4" s="274">
        <f>INDEX('1bezr.'!E3:G28,MATCH(1,V4:V29,0),1)</f>
        <v>-42</v>
      </c>
      <c r="Y4" s="78">
        <v>1</v>
      </c>
      <c r="Z4" s="273">
        <v>1</v>
      </c>
      <c r="AA4" s="6">
        <f>RANK('1bezr.'!C3,'1bezr.'!$C$3:'1bezr.'!$C$28,1)+COUNTIF('1bezr.'!$C$3:'1bezr.'!C3,'1bezr.'!C3)-1</f>
        <v>2</v>
      </c>
      <c r="AB4" s="79" t="str">
        <f>INDEX('1bezr.'!B3:G28,MATCH(25,AA4:AA29,0),1)</f>
        <v>Rzeszów</v>
      </c>
      <c r="AC4" s="6">
        <f>INDEX('1bezr.'!B3:G28,MATCH(25,AA4:AA29,0),2)</f>
        <v>5082</v>
      </c>
    </row>
    <row r="5" spans="2:29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1035</v>
      </c>
      <c r="E5" s="61">
        <f>INDEX('1bezr.'!B3:G28,MATCH(2,B4:B29,0),3)</f>
        <v>987</v>
      </c>
      <c r="F5" s="6">
        <f>INDEX('1bezr.'!B3:G28,MATCH(2,B4:B29,0),4)</f>
        <v>48</v>
      </c>
      <c r="G5" s="61">
        <f>INDEX('1bezr.'!B3:G28,MATCH(2,B4:B29,0),5)</f>
        <v>1070</v>
      </c>
      <c r="H5" s="6">
        <f>INDEX('1bezr.'!B3:G28,MATCH(2,B4:B29,0),6)</f>
        <v>-35</v>
      </c>
      <c r="V5" s="6">
        <f>RANK('1bezr.'!E4,'1bezr.'!$E$3:'1bezr.'!$E$28,1)+COUNTIF('1bezr.'!$E$3:'1bezr.'!E4,'1bezr.'!E4)-1</f>
        <v>21</v>
      </c>
      <c r="W5" s="79" t="str">
        <f>INDEX('1bezr.'!B3:G28,MATCH(2,V4:V29,0),1)</f>
        <v>Tarnobrzeg</v>
      </c>
      <c r="X5" s="179">
        <f>INDEX('1bezr.'!E3:G28,MATCH(2,V4:V29,0),1)</f>
        <v>-19</v>
      </c>
      <c r="Y5" s="6">
        <v>2</v>
      </c>
      <c r="Z5" s="273">
        <v>2</v>
      </c>
      <c r="AA5" s="6">
        <f>RANK('1bezr.'!C4,'1bezr.'!$C$3:'1bezr.'!$C$28,1)+COUNTIF('1bezr.'!$C$3:'1bezr.'!C4,'1bezr.'!C4)-1</f>
        <v>21</v>
      </c>
      <c r="AB5" s="79" t="str">
        <f>INDEX('1bezr.'!B3:G28,MATCH(24,AA4:AA29,0),1)</f>
        <v>jasielski</v>
      </c>
      <c r="AC5" s="6">
        <f>INDEX('1bezr.'!B3:K28,MATCH(24,AA4:AA29,0),2)</f>
        <v>4968</v>
      </c>
    </row>
    <row r="6" spans="2:29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1046</v>
      </c>
      <c r="E6" s="61">
        <f>INDEX('1bezr.'!B3:G28,MATCH(3,B4:B29,0),3)</f>
        <v>1065</v>
      </c>
      <c r="F6" s="6">
        <f>INDEX('1bezr.'!B3:G28,MATCH(3,B4:B29,0),4)</f>
        <v>-19</v>
      </c>
      <c r="G6" s="61">
        <f>INDEX('1bezr.'!B3:G28,MATCH(3,B4:B29,0),5)</f>
        <v>1062</v>
      </c>
      <c r="H6" s="6">
        <f>INDEX('1bezr.'!B3:G28,MATCH(3,B4:B29,0),6)</f>
        <v>-16</v>
      </c>
      <c r="V6" s="6">
        <f>RANK('1bezr.'!E5,'1bezr.'!$E$3:'1bezr.'!$E$28,1)+COUNTIF('1bezr.'!$E$3:'1bezr.'!E5,'1bezr.'!E5)-1</f>
        <v>14</v>
      </c>
      <c r="W6" s="79" t="str">
        <f>INDEX('1bezr.'!B3:G28,MATCH(3,V4:V29,0),1)</f>
        <v>przeworski</v>
      </c>
      <c r="X6" s="179">
        <f>INDEX('1bezr.'!E3:G28,MATCH(3,V4:V29,0),1)</f>
        <v>-10</v>
      </c>
      <c r="Y6" s="6">
        <v>3</v>
      </c>
      <c r="Z6" s="273">
        <v>3</v>
      </c>
      <c r="AA6" s="6">
        <f>RANK('1bezr.'!C5,'1bezr.'!$C$3:'1bezr.'!$C$28,1)+COUNTIF('1bezr.'!$C$3:'1bezr.'!C5,'1bezr.'!C5)-1</f>
        <v>11</v>
      </c>
      <c r="AB6" s="79" t="str">
        <f>INDEX('1bezr.'!B3:G28,MATCH(23,AA4:AA29,0),1)</f>
        <v>rzeszowski</v>
      </c>
      <c r="AC6" s="6">
        <f>INDEX('1bezr.'!B3:K28,MATCH(23,AA4:AA29,0),2)</f>
        <v>4647</v>
      </c>
    </row>
    <row r="7" spans="2:29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1255</v>
      </c>
      <c r="E7" s="61">
        <f>INDEX('1bezr.'!B3:G28,MATCH(4,B4:B29,0),3)</f>
        <v>1251</v>
      </c>
      <c r="F7" s="6">
        <f>INDEX('1bezr.'!B3:G28,MATCH(4,B4:B29,0),4)</f>
        <v>4</v>
      </c>
      <c r="G7" s="61">
        <f>INDEX('1bezr.'!B3:G28,MATCH(4,B4:B29,0),5)</f>
        <v>1271</v>
      </c>
      <c r="H7" s="6">
        <f>INDEX('1bezr.'!B3:G28,MATCH(4,B4:B29,0),6)</f>
        <v>-16</v>
      </c>
      <c r="V7" s="6">
        <f>RANK('1bezr.'!E6,'1bezr.'!$E$3:'1bezr.'!$E$28,1)+COUNTIF('1bezr.'!$E$3:'1bezr.'!E6,'1bezr.'!E6)-1</f>
        <v>7</v>
      </c>
      <c r="W7" s="79" t="str">
        <f>INDEX('1bezr.'!B3:G28,MATCH(4,V4:V29,0),1)</f>
        <v xml:space="preserve">tarnobrzeski </v>
      </c>
      <c r="X7" s="6">
        <f>INDEX('1bezr.'!E3:G28,MATCH(4,V4:V29,0),1)</f>
        <v>4</v>
      </c>
      <c r="Y7" s="6">
        <v>4</v>
      </c>
      <c r="Z7" s="2">
        <v>1</v>
      </c>
      <c r="AA7" s="6">
        <f>RANK('1bezr.'!C6,'1bezr.'!$C$3:'1bezr.'!$C$28,1)+COUNTIF('1bezr.'!$C$3:'1bezr.'!C6,'1bezr.'!C6)-1</f>
        <v>22</v>
      </c>
      <c r="AB7" s="79" t="str">
        <f>INDEX('1bezr.'!B3:G28,MATCH(22,AA4:AA29,0),1)</f>
        <v>jarosławski</v>
      </c>
      <c r="AC7" s="6">
        <f>INDEX('1bezr.'!B3:K28,MATCH(22,AA4:AA29,0),2)</f>
        <v>4167</v>
      </c>
    </row>
    <row r="8" spans="2:29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1478</v>
      </c>
      <c r="E8" s="61">
        <f>INDEX('1bezr.'!B3:G28,MATCH(5,B4:B29,0),3)</f>
        <v>1464</v>
      </c>
      <c r="F8" s="179">
        <f>INDEX('1bezr.'!B3:G28,MATCH(5,B4:B29,0),4)</f>
        <v>14</v>
      </c>
      <c r="G8" s="61">
        <f>INDEX('1bezr.'!B3:G28,MATCH(5,B4:B29,0),5)</f>
        <v>1563</v>
      </c>
      <c r="H8" s="6">
        <f>INDEX('1bezr.'!B3:G28,MATCH(5,B4:B29,0),6)</f>
        <v>-85</v>
      </c>
      <c r="V8" s="6">
        <f>RANK('1bezr.'!E7,'1bezr.'!$E$3:'1bezr.'!$E$28,1)+COUNTIF('1bezr.'!$E$3:'1bezr.'!E7,'1bezr.'!E7)-1</f>
        <v>25</v>
      </c>
      <c r="W8" s="79" t="str">
        <f>INDEX('1bezr.'!B3:G28,MATCH(5,V4:V29,0),1)</f>
        <v>Krosno</v>
      </c>
      <c r="X8" s="6">
        <f>INDEX('1bezr.'!E3:G28,MATCH(5,V4:V29,0),1)</f>
        <v>9</v>
      </c>
      <c r="Y8" s="6">
        <v>5</v>
      </c>
      <c r="Z8" s="2">
        <v>2</v>
      </c>
      <c r="AA8" s="6">
        <f>RANK('1bezr.'!C7,'1bezr.'!$C$3:'1bezr.'!$C$28,1)+COUNTIF('1bezr.'!$C$3:'1bezr.'!C7,'1bezr.'!C7)-1</f>
        <v>24</v>
      </c>
      <c r="AB8" s="79" t="str">
        <f>INDEX('1bezr.'!B3:G28,MATCH(21,AA4:AA29,0),1)</f>
        <v>brzozowski</v>
      </c>
      <c r="AC8" s="6">
        <f>INDEX('1bezr.'!B3:K28,MATCH(21,AA4:AA29,0),2)</f>
        <v>3736</v>
      </c>
    </row>
    <row r="9" spans="2:29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1667</v>
      </c>
      <c r="E9" s="61">
        <f>INDEX('1bezr.'!B3:G28,MATCH(6,B4:B29,0),3)</f>
        <v>1561</v>
      </c>
      <c r="F9" s="6">
        <f>INDEX('1bezr.'!B3:G28,MATCH(6,B4:B29,0),4)</f>
        <v>106</v>
      </c>
      <c r="G9" s="61">
        <f>INDEX('1bezr.'!B3:G28,MATCH(6,B4:B29,0),5)</f>
        <v>1691</v>
      </c>
      <c r="H9" s="6">
        <f>INDEX('1bezr.'!B3:G28,MATCH(6,B4:B29,0),6)</f>
        <v>-24</v>
      </c>
      <c r="V9" s="6">
        <f>RANK('1bezr.'!E8,'1bezr.'!$E$3:'1bezr.'!$E$28,1)+COUNTIF('1bezr.'!$E$3:'1bezr.'!E8,'1bezr.'!E8)-1</f>
        <v>8</v>
      </c>
      <c r="W9" s="79" t="str">
        <f>INDEX('1bezr.'!B3:G28,MATCH(6,V4:V29,0),1)</f>
        <v>Przemyśl</v>
      </c>
      <c r="X9" s="6">
        <f>INDEX('1bezr.'!E3:G28,MATCH(6,V4:V29,0),1)</f>
        <v>9</v>
      </c>
      <c r="Y9" s="6">
        <v>6</v>
      </c>
      <c r="Z9" s="2">
        <v>3</v>
      </c>
      <c r="AA9" s="6">
        <f>RANK('1bezr.'!C8,'1bezr.'!$C$3:'1bezr.'!$C$28,1)+COUNTIF('1bezr.'!$C$3:'1bezr.'!C8,'1bezr.'!C8)-1</f>
        <v>5</v>
      </c>
      <c r="AB9" s="79" t="str">
        <f>INDEX('1bezr.'!B3:G28,MATCH(20,AA4:AA29,0),1)</f>
        <v>przeworski</v>
      </c>
      <c r="AC9" s="6">
        <f>INDEX('1bezr.'!B3:K28,MATCH(20,AA4:AA29,0),2)</f>
        <v>3254</v>
      </c>
    </row>
    <row r="10" spans="2:29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1760</v>
      </c>
      <c r="E10" s="61">
        <f>INDEX('1bezr.'!B3:G28,MATCH(7,B4:B29,0),3)</f>
        <v>1663</v>
      </c>
      <c r="F10" s="6">
        <f>INDEX('1bezr.'!B3:G28,MATCH(7,B4:B29,0),4)</f>
        <v>97</v>
      </c>
      <c r="G10" s="61">
        <f>INDEX('1bezr.'!B3:G28,MATCH(7,B4:B29,0),5)</f>
        <v>1797</v>
      </c>
      <c r="H10" s="6">
        <f>INDEX('1bezr.'!B3:G28,MATCH(7,B4:B29,0),6)</f>
        <v>-37</v>
      </c>
      <c r="V10" s="6">
        <f>RANK('1bezr.'!E9,'1bezr.'!$E$3:'1bezr.'!$E$28,1)+COUNTIF('1bezr.'!$E$3:'1bezr.'!E9,'1bezr.'!E9)-1</f>
        <v>18</v>
      </c>
      <c r="W10" s="80" t="str">
        <f>INDEX('1bezr.'!B3:G28,MATCH(7,V4:V29,0),1)</f>
        <v>jarosławski</v>
      </c>
      <c r="X10" s="6">
        <f>INDEX('1bezr.'!E3:G28,MATCH(7,V4:V29,0),1)</f>
        <v>10</v>
      </c>
      <c r="Y10" s="6">
        <v>7</v>
      </c>
      <c r="Z10" s="2">
        <v>4</v>
      </c>
      <c r="AA10" s="6">
        <f>RANK('1bezr.'!C9,'1bezr.'!$C$3:'1bezr.'!$C$28,1)+COUNTIF('1bezr.'!$C$3:'1bezr.'!C9,'1bezr.'!C9)-1</f>
        <v>9</v>
      </c>
      <c r="AB10" s="80" t="str">
        <f>INDEX('1bezr.'!B3:G28,MATCH(19,AA4:AA29,0),1)</f>
        <v>strzyżowski</v>
      </c>
      <c r="AC10" s="6">
        <f>INDEX('1bezr.'!B3:K28,MATCH(19,AA4:AA29,0),2)</f>
        <v>2999</v>
      </c>
    </row>
    <row r="11" spans="2:29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1918</v>
      </c>
      <c r="E11" s="61">
        <f>INDEX('1bezr.'!B3:G28,MATCH(8,B4:B29,0),3)</f>
        <v>1898</v>
      </c>
      <c r="F11" s="6">
        <f>INDEX('1bezr.'!B3:G28,MATCH(8,B4:B29,0),4)</f>
        <v>20</v>
      </c>
      <c r="G11" s="61">
        <f>INDEX('1bezr.'!B3:G28,MATCH(8,B4:B29,0),5)</f>
        <v>1828</v>
      </c>
      <c r="H11" s="6">
        <f>INDEX('1bezr.'!B3:G28,MATCH(8,B4:B29,0),6)</f>
        <v>90</v>
      </c>
      <c r="V11" s="6">
        <f>RANK('1bezr.'!E10,'1bezr.'!$E$3:'1bezr.'!$E$28,1)+COUNTIF('1bezr.'!$E$3:'1bezr.'!E10,'1bezr.'!E10)-1</f>
        <v>23</v>
      </c>
      <c r="W11" s="79" t="str">
        <f>INDEX('1bezr.'!B3:G28,MATCH(8,V4:V29,0),1)</f>
        <v>kolbuszowski</v>
      </c>
      <c r="X11" s="6">
        <f>INDEX('1bezr.'!E3:G28,MATCH(8,V4:V29,0),1)</f>
        <v>14</v>
      </c>
      <c r="Y11" s="6">
        <v>1</v>
      </c>
      <c r="Z11" s="2">
        <v>5</v>
      </c>
      <c r="AA11" s="6">
        <f>RANK('1bezr.'!C10,'1bezr.'!$C$3:'1bezr.'!$C$28,1)+COUNTIF('1bezr.'!$C$3:'1bezr.'!C10,'1bezr.'!C10)-1</f>
        <v>6</v>
      </c>
      <c r="AB11" s="79" t="str">
        <f>INDEX('1bezr.'!B3:G28,MATCH(18,AA4:AA29,0),1)</f>
        <v>leżajski</v>
      </c>
      <c r="AC11" s="6">
        <f>INDEX('1bezr.'!B3:K28,MATCH(18,AA4:AA29,0),2)</f>
        <v>2975</v>
      </c>
    </row>
    <row r="12" spans="2:29" x14ac:dyDescent="0.2">
      <c r="B12" s="6">
        <f>RANK('1bezr.'!C11,'1bezr.'!$C$3:'1bezr.'!$C$28,1)+COUNTIF('1bezr.'!$C$3:'1bezr.'!C11,'1bezr.'!C11)-1</f>
        <v>18</v>
      </c>
      <c r="C12" s="5" t="str">
        <f>INDEX('1bezr.'!B3:G28,MATCH(9,B4:B29,0),1)</f>
        <v>krośnieński</v>
      </c>
      <c r="D12" s="6">
        <f>INDEX('1bezr.'!B3:G28,MATCH(9,B4:B29,0),2)</f>
        <v>2136</v>
      </c>
      <c r="E12" s="61">
        <f>INDEX('1bezr.'!B3:G28,MATCH(9,B4:B29,0),3)</f>
        <v>2081</v>
      </c>
      <c r="F12" s="6">
        <f>INDEX('1bezr.'!B3:G28,MATCH(9,B4:B29,0),4)</f>
        <v>55</v>
      </c>
      <c r="G12" s="61">
        <f>INDEX('1bezr.'!B3:G28,MATCH(9,B4:B29,0),5)</f>
        <v>1933</v>
      </c>
      <c r="H12" s="6">
        <f>INDEX('1bezr.'!B3:G28,MATCH(9,B4:B29,0),6)</f>
        <v>203</v>
      </c>
      <c r="V12" s="6">
        <f>RANK('1bezr.'!E11,'1bezr.'!$E$3:'1bezr.'!$E$28,1)+COUNTIF('1bezr.'!$E$3:'1bezr.'!E11,'1bezr.'!E11)-1</f>
        <v>17</v>
      </c>
      <c r="W12" s="79" t="str">
        <f>INDEX('1bezr.'!B3:G28,MATCH(9,V4:V29,0),1)</f>
        <v>przemyski</v>
      </c>
      <c r="X12" s="6">
        <f>INDEX('1bezr.'!E3:G28,MATCH(9,V4:V29,0),1)</f>
        <v>16</v>
      </c>
      <c r="Y12" s="6">
        <v>2</v>
      </c>
      <c r="Z12" s="2">
        <v>6</v>
      </c>
      <c r="AA12" s="6">
        <f>RANK('1bezr.'!C11,'1bezr.'!$C$3:'1bezr.'!$C$28,1)+COUNTIF('1bezr.'!$C$3:'1bezr.'!C11,'1bezr.'!C11)-1</f>
        <v>18</v>
      </c>
      <c r="AB12" s="79" t="str">
        <f>INDEX('1bezr.'!B3:G28,MATCH(17,AA4:AA29,0),1)</f>
        <v>niżański</v>
      </c>
      <c r="AC12" s="6">
        <f>INDEX('1bezr.'!B3:K28,MATCH(17,AA4:AA29,0),2)</f>
        <v>2965</v>
      </c>
    </row>
    <row r="13" spans="2:29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2307</v>
      </c>
      <c r="E13" s="61">
        <f>INDEX('1bezr.'!B3:G28,MATCH(10,B4:B29,0),3)</f>
        <v>2298</v>
      </c>
      <c r="F13" s="179">
        <f>INDEX('1bezr.'!B3:G28,MATCH(10,B4:B29,0),4)</f>
        <v>9</v>
      </c>
      <c r="G13" s="61">
        <f>INDEX('1bezr.'!B3:G28,MATCH(10,B4:B29,0),5)</f>
        <v>2436</v>
      </c>
      <c r="H13" s="6">
        <f>INDEX('1bezr.'!B3:G28,MATCH(10,B4:B29,0),6)</f>
        <v>-129</v>
      </c>
      <c r="V13" s="6">
        <f>RANK('1bezr.'!E12,'1bezr.'!$E$3:'1bezr.'!$E$28,1)+COUNTIF('1bezr.'!$E$3:'1bezr.'!E12,'1bezr.'!E12)-1</f>
        <v>22</v>
      </c>
      <c r="W13" s="79" t="str">
        <f>INDEX('1bezr.'!B3:G28,MATCH(10,V4:V29,0),1)</f>
        <v>sanocki</v>
      </c>
      <c r="X13" s="6">
        <f>INDEX('1bezr.'!E3:G28,MATCH(10,V4:V29,0),1)</f>
        <v>20</v>
      </c>
      <c r="Y13" s="6">
        <v>3</v>
      </c>
      <c r="Z13" s="181">
        <v>7</v>
      </c>
      <c r="AA13" s="6">
        <f>RANK('1bezr.'!C12,'1bezr.'!$C$3:'1bezr.'!$C$28,1)+COUNTIF('1bezr.'!$C$3:'1bezr.'!C12,'1bezr.'!C12)-1</f>
        <v>7</v>
      </c>
      <c r="AB13" s="79" t="str">
        <f>INDEX('1bezr.'!B3:G28,MATCH(16,AA4:AA29,0),1)</f>
        <v>mielecki</v>
      </c>
      <c r="AC13" s="6">
        <f>INDEX('1bezr.'!B3:K28,MATCH(16,AA4:AA29,0),2)</f>
        <v>2942</v>
      </c>
    </row>
    <row r="14" spans="2:29" x14ac:dyDescent="0.2">
      <c r="B14" s="6">
        <f>RANK('1bezr.'!C13,'1bezr.'!$C$3:'1bezr.'!$C$28,1)+COUNTIF('1bezr.'!$C$3:'1bezr.'!C13,'1bezr.'!C13)-1</f>
        <v>12</v>
      </c>
      <c r="C14" s="5" t="str">
        <f>INDEX('1bezr.'!B3:G28,MATCH(11,B4:B29,0),1)</f>
        <v>dębicki</v>
      </c>
      <c r="D14" s="6">
        <f>INDEX('1bezr.'!B3:G28,MATCH(11,B4:B29,0),2)</f>
        <v>2400</v>
      </c>
      <c r="E14" s="61">
        <f>INDEX('1bezr.'!B3:G28,MATCH(11,B4:B29,0),3)</f>
        <v>2368</v>
      </c>
      <c r="F14" s="179">
        <f>INDEX('1bezr.'!B3:G28,MATCH(11,B4:B29,0),4)</f>
        <v>32</v>
      </c>
      <c r="G14" s="61">
        <f>INDEX('1bezr.'!B3:G28,MATCH(11,B4:B29,0),5)</f>
        <v>2411</v>
      </c>
      <c r="H14" s="6">
        <f>INDEX('1bezr.'!B3:G28,MATCH(11,B4:B29,0),6)</f>
        <v>-11</v>
      </c>
      <c r="V14" s="6">
        <f>RANK('1bezr.'!E13,'1bezr.'!$E$3:'1bezr.'!$E$28,1)+COUNTIF('1bezr.'!$E$3:'1bezr.'!E13,'1bezr.'!E13)-1</f>
        <v>16</v>
      </c>
      <c r="W14" s="79" t="str">
        <f>INDEX('1bezr.'!B3:G28,MATCH(11,V4:V29,0),1)</f>
        <v>stalowowolski</v>
      </c>
      <c r="X14" s="6">
        <f>INDEX('1bezr.'!E3:G28,MATCH(11,V4:V29,0),1)</f>
        <v>20</v>
      </c>
      <c r="Y14" s="6">
        <v>4</v>
      </c>
      <c r="Z14" s="2">
        <v>8</v>
      </c>
      <c r="AA14" s="6">
        <f>RANK('1bezr.'!C13,'1bezr.'!$C$3:'1bezr.'!$C$28,1)+COUNTIF('1bezr.'!$C$3:'1bezr.'!C13,'1bezr.'!C13)-1</f>
        <v>12</v>
      </c>
      <c r="AB14" s="79" t="str">
        <f>INDEX('1bezr.'!B3:G28,MATCH(15,AA4:AA29,0),1)</f>
        <v>przemyski</v>
      </c>
      <c r="AC14" s="6">
        <f>INDEX('1bezr.'!B3:K28,MATCH(15,AA4:AA29,0),2)</f>
        <v>2839</v>
      </c>
    </row>
    <row r="15" spans="2:29" x14ac:dyDescent="0.2">
      <c r="B15" s="6">
        <f>RANK('1bezr.'!C14,'1bezr.'!$C$3:'1bezr.'!$C$28,1)+COUNTIF('1bezr.'!$C$3:'1bezr.'!C14,'1bezr.'!C14)-1</f>
        <v>16</v>
      </c>
      <c r="C15" s="5" t="str">
        <f>INDEX('1bezr.'!B3:G28,MATCH(12,B4:B29,0),1)</f>
        <v>łańcucki</v>
      </c>
      <c r="D15" s="6">
        <f>INDEX('1bezr.'!B3:G28,MATCH(12,B4:B29,0),2)</f>
        <v>2413</v>
      </c>
      <c r="E15" s="61">
        <f>INDEX('1bezr.'!B3:G28,MATCH(12,B4:B29,0),3)</f>
        <v>2364</v>
      </c>
      <c r="F15" s="6">
        <f>INDEX('1bezr.'!B3:G28,MATCH(12,B4:B29,0),4)</f>
        <v>49</v>
      </c>
      <c r="G15" s="61">
        <f>INDEX('1bezr.'!B3:G28,MATCH(12,B4:B29,0),5)</f>
        <v>2583</v>
      </c>
      <c r="H15" s="6">
        <f>INDEX('1bezr.'!B3:G28,MATCH(12,B4:B29,0),6)</f>
        <v>-170</v>
      </c>
      <c r="V15" s="6">
        <f>RANK('1bezr.'!E14,'1bezr.'!$E$3:'1bezr.'!$E$28,1)+COUNTIF('1bezr.'!$E$3:'1bezr.'!E14,'1bezr.'!E14)-1</f>
        <v>12</v>
      </c>
      <c r="W15" s="79" t="str">
        <f>INDEX('1bezr.'!B3:G28,MATCH(12,V4:V29,0),1)</f>
        <v>mielecki</v>
      </c>
      <c r="X15" s="6">
        <f>INDEX('1bezr.'!E3:G28,MATCH(12,V4:V29,0),1)</f>
        <v>21</v>
      </c>
      <c r="Y15" s="6">
        <v>5</v>
      </c>
      <c r="Z15" s="2">
        <v>9</v>
      </c>
      <c r="AA15" s="6">
        <f>RANK('1bezr.'!C14,'1bezr.'!$C$3:'1bezr.'!$C$28,1)+COUNTIF('1bezr.'!$C$3:'1bezr.'!C14,'1bezr.'!C14)-1</f>
        <v>16</v>
      </c>
      <c r="AB15" s="79" t="str">
        <f>INDEX('1bezr.'!B3:G28,MATCH(14,AA4:AA29,0),1)</f>
        <v>sanocki</v>
      </c>
      <c r="AC15" s="6">
        <f>INDEX('1bezr.'!B3:K28,MATCH(14,AA4:AA29,0),2)</f>
        <v>2700</v>
      </c>
    </row>
    <row r="16" spans="2:29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ropczycko-sędziszowski</v>
      </c>
      <c r="D16" s="6">
        <f>INDEX('1bezr.'!B3:G28,MATCH(13,B4:B29,0),2)</f>
        <v>2495</v>
      </c>
      <c r="E16" s="61">
        <f>INDEX('1bezr.'!B3:G28,MATCH(13,B4:B29,0),3)</f>
        <v>2537</v>
      </c>
      <c r="F16" s="179">
        <f>INDEX('1bezr.'!B3:G28,MATCH(13,B4:B29,0),4)</f>
        <v>-42</v>
      </c>
      <c r="G16" s="61">
        <f>INDEX('1bezr.'!B3:G28,MATCH(13,B4:B29,0),5)</f>
        <v>2764</v>
      </c>
      <c r="H16" s="6">
        <f>INDEX('1bezr.'!B3:G28,MATCH(13,B4:B29,0),6)</f>
        <v>-269</v>
      </c>
      <c r="V16" s="6">
        <f>RANK('1bezr.'!E15,'1bezr.'!$E$3:'1bezr.'!$E$28,1)+COUNTIF('1bezr.'!$E$3:'1bezr.'!E15,'1bezr.'!E15)-1</f>
        <v>13</v>
      </c>
      <c r="W16" s="79" t="str">
        <f>INDEX('1bezr.'!B3:G28,MATCH(13,V4:V29,0),1)</f>
        <v>niżański</v>
      </c>
      <c r="X16" s="6">
        <f>INDEX('1bezr.'!E3:G28,MATCH(13,V4:V29,0),1)</f>
        <v>22</v>
      </c>
      <c r="Y16" s="6">
        <v>6</v>
      </c>
      <c r="Z16" s="2">
        <v>10</v>
      </c>
      <c r="AA16" s="6">
        <f>RANK('1bezr.'!C15,'1bezr.'!$C$3:'1bezr.'!$C$28,1)+COUNTIF('1bezr.'!$C$3:'1bezr.'!C15,'1bezr.'!C15)-1</f>
        <v>17</v>
      </c>
      <c r="AB16" s="79" t="str">
        <f>INDEX('1bezr.'!B3:G28,MATCH(13,AA4:AA29,0),1)</f>
        <v>ropczycko-sędziszowski</v>
      </c>
      <c r="AC16" s="6">
        <f>INDEX('1bezr.'!B3:K28,MATCH(13,AA4:AA29,0),2)</f>
        <v>2495</v>
      </c>
    </row>
    <row r="17" spans="2:29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2700</v>
      </c>
      <c r="E17" s="61">
        <f>INDEX('1bezr.'!B3:G28,MATCH(14,B4:B29,0),3)</f>
        <v>2680</v>
      </c>
      <c r="F17" s="6">
        <f>INDEX('1bezr.'!B3:G28,MATCH(14,B4:B29,0),4)</f>
        <v>20</v>
      </c>
      <c r="G17" s="61">
        <f>INDEX('1bezr.'!B3:G28,MATCH(14,B4:B29,0),5)</f>
        <v>2632</v>
      </c>
      <c r="H17" s="6">
        <f>INDEX('1bezr.'!B3:G28,MATCH(14,B4:B29,0),6)</f>
        <v>68</v>
      </c>
      <c r="V17" s="6">
        <f>RANK('1bezr.'!E16,'1bezr.'!$E$3:'1bezr.'!$E$28,1)+COUNTIF('1bezr.'!$E$3:'1bezr.'!E16,'1bezr.'!E16)-1</f>
        <v>9</v>
      </c>
      <c r="W17" s="79" t="str">
        <f>INDEX('1bezr.'!B3:G28,MATCH(14,V4:V29,0),1)</f>
        <v>dębicki</v>
      </c>
      <c r="X17" s="6">
        <f>INDEX('1bezr.'!E3:G28,MATCH(14,V4:V29,0),1)</f>
        <v>32</v>
      </c>
      <c r="Y17" s="6">
        <v>7</v>
      </c>
      <c r="Z17" s="2">
        <v>11</v>
      </c>
      <c r="AA17" s="6">
        <f>RANK('1bezr.'!C16,'1bezr.'!$C$3:'1bezr.'!$C$28,1)+COUNTIF('1bezr.'!$C$3:'1bezr.'!C16,'1bezr.'!C16)-1</f>
        <v>15</v>
      </c>
      <c r="AB17" s="79" t="str">
        <f>INDEX('1bezr.'!B3:G28,MATCH(12,AA4:AA29,0),1)</f>
        <v>łańcucki</v>
      </c>
      <c r="AC17" s="6">
        <f>INDEX('1bezr.'!B3:K28,MATCH(12,AA4:AA29,0),2)</f>
        <v>2413</v>
      </c>
    </row>
    <row r="18" spans="2:29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2839</v>
      </c>
      <c r="E18" s="61">
        <f>INDEX('1bezr.'!B3:G28,MATCH(15,B4:B29,0),3)</f>
        <v>2823</v>
      </c>
      <c r="F18" s="6">
        <f>INDEX('1bezr.'!B3:G28,MATCH(15,B4:B29,0),4)</f>
        <v>16</v>
      </c>
      <c r="G18" s="61">
        <f>INDEX('1bezr.'!B3:G28,MATCH(15,B4:B29,0),5)</f>
        <v>2944</v>
      </c>
      <c r="H18" s="6">
        <f>INDEX('1bezr.'!B3:G28,MATCH(15,B4:B29,0),6)</f>
        <v>-105</v>
      </c>
      <c r="V18" s="6">
        <f>RANK('1bezr.'!E17,'1bezr.'!$E$3:'1bezr.'!$E$28,1)+COUNTIF('1bezr.'!$E$3:'1bezr.'!E17,'1bezr.'!E17)-1</f>
        <v>3</v>
      </c>
      <c r="W18" s="79" t="str">
        <f>INDEX('1bezr.'!B3:G28,MATCH(15,V4:V29,0),1)</f>
        <v>bieszczadzki</v>
      </c>
      <c r="X18" s="6">
        <f>INDEX('1bezr.'!E3:G28,MATCH(15,V4:V29,0),1)</f>
        <v>48</v>
      </c>
      <c r="Y18" s="6">
        <v>8</v>
      </c>
      <c r="Z18" s="2">
        <v>12</v>
      </c>
      <c r="AA18" s="6">
        <f>RANK('1bezr.'!C17,'1bezr.'!$C$3:'1bezr.'!$C$28,1)+COUNTIF('1bezr.'!$C$3:'1bezr.'!C17,'1bezr.'!C17)-1</f>
        <v>20</v>
      </c>
      <c r="AB18" s="79" t="str">
        <f>INDEX('1bezr.'!B3:G28,MATCH(11,AA4:AA29,0),1)</f>
        <v>dębicki</v>
      </c>
      <c r="AC18" s="6">
        <f>INDEX('1bezr.'!B3:K28,MATCH(11,AA4:AA29,0),2)</f>
        <v>2400</v>
      </c>
    </row>
    <row r="19" spans="2:29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mielecki</v>
      </c>
      <c r="D19" s="6">
        <f>INDEX('1bezr.'!B3:G28,MATCH(16,B4:B29,0),2)</f>
        <v>2942</v>
      </c>
      <c r="E19" s="61">
        <f>INDEX('1bezr.'!B3:G28,MATCH(16,B4:B29,0),3)</f>
        <v>2921</v>
      </c>
      <c r="F19" s="6">
        <f>INDEX('1bezr.'!B3:G28,MATCH(16,B4:B29,0),4)</f>
        <v>21</v>
      </c>
      <c r="G19" s="61">
        <f>INDEX('1bezr.'!B3:G28,MATCH(16,B4:B29,0),5)</f>
        <v>2542</v>
      </c>
      <c r="H19" s="6">
        <f>INDEX('1bezr.'!B3:G28,MATCH(16,B4:B29,0),6)</f>
        <v>400</v>
      </c>
      <c r="V19" s="6">
        <f>RANK('1bezr.'!E18,'1bezr.'!$E$3:'1bezr.'!$E$28,1)+COUNTIF('1bezr.'!$E$3:'1bezr.'!E18,'1bezr.'!E18)-1</f>
        <v>1</v>
      </c>
      <c r="W19" s="79" t="str">
        <f>INDEX('1bezr.'!B3:G28,MATCH(16,V4:V29,0),1)</f>
        <v>łańcucki</v>
      </c>
      <c r="X19" s="6">
        <f>INDEX('1bezr.'!E3:G28,MATCH(16,V4:V29,0),1)</f>
        <v>49</v>
      </c>
      <c r="Y19" s="6">
        <v>9</v>
      </c>
      <c r="Z19" s="2">
        <v>13</v>
      </c>
      <c r="AA19" s="6">
        <f>RANK('1bezr.'!C18,'1bezr.'!$C$3:'1bezr.'!$C$28,1)+COUNTIF('1bezr.'!$C$3:'1bezr.'!C18,'1bezr.'!C18)-1</f>
        <v>13</v>
      </c>
      <c r="AB19" s="79" t="str">
        <f>INDEX('1bezr.'!B3:G28,MATCH(10,AA4:AA29,0),1)</f>
        <v>Przemyśl</v>
      </c>
      <c r="AC19" s="6">
        <f>INDEX('1bezr.'!B3:K28,MATCH(10,AA4:AA29,0),2)</f>
        <v>2307</v>
      </c>
    </row>
    <row r="20" spans="2:29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2965</v>
      </c>
      <c r="E20" s="61">
        <f>INDEX('1bezr.'!B3:G28,MATCH(17,B4:B29,0),3)</f>
        <v>2943</v>
      </c>
      <c r="F20" s="6">
        <f>INDEX('1bezr.'!B3:G28,MATCH(17,B4:B29,0),4)</f>
        <v>22</v>
      </c>
      <c r="G20" s="61">
        <f>INDEX('1bezr.'!B3:G28,MATCH(17,B4:B29,0),5)</f>
        <v>3043</v>
      </c>
      <c r="H20" s="6">
        <f>INDEX('1bezr.'!B3:G28,MATCH(17,B4:B29,0),6)</f>
        <v>-78</v>
      </c>
      <c r="V20" s="6">
        <f>RANK('1bezr.'!E19,'1bezr.'!$E$3:'1bezr.'!$E$28,1)+COUNTIF('1bezr.'!$E$3:'1bezr.'!E19,'1bezr.'!E19)-1</f>
        <v>24</v>
      </c>
      <c r="W20" s="79" t="str">
        <f>INDEX('1bezr.'!B3:G28,MATCH(17,V4:V29,0),1)</f>
        <v>leżajski</v>
      </c>
      <c r="X20" s="6">
        <f>INDEX('1bezr.'!E3:G28,MATCH(17,V4:V29,0),1)</f>
        <v>54</v>
      </c>
      <c r="Y20" s="6">
        <v>10</v>
      </c>
      <c r="Z20" s="2">
        <v>14</v>
      </c>
      <c r="AA20" s="6">
        <f>RANK('1bezr.'!C19,'1bezr.'!$C$3:'1bezr.'!$C$28,1)+COUNTIF('1bezr.'!$C$3:'1bezr.'!C19,'1bezr.'!C19)-1</f>
        <v>23</v>
      </c>
      <c r="AB20" s="79" t="str">
        <f>INDEX('1bezr.'!B3:G28,MATCH(9,AA4:AA29,0),1)</f>
        <v>krośnieński</v>
      </c>
      <c r="AC20" s="6">
        <f>INDEX('1bezr.'!B3:K28,MATCH(9,AA4:AA29,0),2)</f>
        <v>2136</v>
      </c>
    </row>
    <row r="21" spans="2:29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leżajski</v>
      </c>
      <c r="D21" s="6">
        <f>INDEX('1bezr.'!B3:G28,MATCH(18,B4:B29,0),2)</f>
        <v>2975</v>
      </c>
      <c r="E21" s="61">
        <f>INDEX('1bezr.'!B3:G28,MATCH(18,B4:B29,0),3)</f>
        <v>2921</v>
      </c>
      <c r="F21" s="179">
        <f>INDEX('1bezr.'!B3:G28,MATCH(18,B4:B29,0),4)</f>
        <v>54</v>
      </c>
      <c r="G21" s="61">
        <f>INDEX('1bezr.'!B3:G28,MATCH(18,B4:B29,0),5)</f>
        <v>3124</v>
      </c>
      <c r="H21" s="6">
        <f>INDEX('1bezr.'!B3:G28,MATCH(18,B4:B29,0),6)</f>
        <v>-149</v>
      </c>
      <c r="V21" s="6">
        <f>RANK('1bezr.'!E20,'1bezr.'!$E$3:'1bezr.'!$E$28,1)+COUNTIF('1bezr.'!$E$3:'1bezr.'!E20,'1bezr.'!E20)-1</f>
        <v>10</v>
      </c>
      <c r="W21" s="79" t="str">
        <f>INDEX('1bezr.'!B3:G28,MATCH(18,V4:V29,0),1)</f>
        <v>krośnieński</v>
      </c>
      <c r="X21" s="6">
        <f>INDEX('1bezr.'!E3:G28,MATCH(18,V4:V29,0),1)</f>
        <v>55</v>
      </c>
      <c r="Y21" s="6">
        <v>11</v>
      </c>
      <c r="Z21" s="2">
        <v>15</v>
      </c>
      <c r="AA21" s="6">
        <f>RANK('1bezr.'!C20,'1bezr.'!$C$3:'1bezr.'!$C$28,1)+COUNTIF('1bezr.'!$C$3:'1bezr.'!C20,'1bezr.'!C20)-1</f>
        <v>14</v>
      </c>
      <c r="AB21" s="79" t="str">
        <f>INDEX('1bezr.'!B3:G28,MATCH(8,AA4:AA29,0),1)</f>
        <v>stalowowolski</v>
      </c>
      <c r="AC21" s="6">
        <f>INDEX('1bezr.'!B3:K28,MATCH(8,AA4:AA29,0),2)</f>
        <v>1918</v>
      </c>
    </row>
    <row r="22" spans="2:29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strzyżowski</v>
      </c>
      <c r="D22" s="6">
        <f>INDEX('1bezr.'!B3:G28,MATCH(19,B4:B29,0),2)</f>
        <v>2999</v>
      </c>
      <c r="E22" s="61">
        <f>INDEX('1bezr.'!B3:G28,MATCH(19,B4:B29,0),3)</f>
        <v>2938</v>
      </c>
      <c r="F22" s="179">
        <f>INDEX('1bezr.'!B3:G28,MATCH(19,B4:B29,0),4)</f>
        <v>61</v>
      </c>
      <c r="G22" s="61">
        <f>INDEX('1bezr.'!B3:G28,MATCH(19,B4:B29,0),5)</f>
        <v>3198</v>
      </c>
      <c r="H22" s="6">
        <f>INDEX('1bezr.'!B3:G28,MATCH(19,B4:B29,0),6)</f>
        <v>-199</v>
      </c>
      <c r="V22" s="6">
        <f>RANK('1bezr.'!E21,'1bezr.'!$E$3:'1bezr.'!$E$28,1)+COUNTIF('1bezr.'!$E$3:'1bezr.'!E21,'1bezr.'!E21)-1</f>
        <v>11</v>
      </c>
      <c r="W22" s="79" t="str">
        <f>INDEX('1bezr.'!B3:G28,MATCH(19,V4:V29,0),1)</f>
        <v>strzyżowski</v>
      </c>
      <c r="X22" s="6">
        <f>INDEX('1bezr.'!E3:G28,MATCH(19,V4:V29,0),1)</f>
        <v>61</v>
      </c>
      <c r="Y22" s="6">
        <v>12</v>
      </c>
      <c r="Z22" s="2">
        <v>16</v>
      </c>
      <c r="AA22" s="6">
        <f>RANK('1bezr.'!C21,'1bezr.'!$C$3:'1bezr.'!$C$28,1)+COUNTIF('1bezr.'!$C$3:'1bezr.'!C21,'1bezr.'!C21)-1</f>
        <v>8</v>
      </c>
      <c r="AB22" s="79" t="str">
        <f>INDEX('1bezr.'!B3:G28,MATCH(7,AA4:AA29,0),1)</f>
        <v>lubaczowski</v>
      </c>
      <c r="AC22" s="6">
        <f>INDEX('1bezr.'!B3:K28,MATCH(7,AA4:AA29,0),2)</f>
        <v>1760</v>
      </c>
    </row>
    <row r="23" spans="2:29" x14ac:dyDescent="0.2">
      <c r="B23" s="6">
        <f>RANK('1bezr.'!C22,'1bezr.'!$C$3:'1bezr.'!$C$28,1)+COUNTIF('1bezr.'!$C$3:'1bezr.'!C22,'1bezr.'!C22)-1</f>
        <v>19</v>
      </c>
      <c r="C23" s="5" t="str">
        <f>INDEX('1bezr.'!B3:G28,MATCH(20,B4:B29,0),1)</f>
        <v>przeworski</v>
      </c>
      <c r="D23" s="6">
        <f>INDEX('1bezr.'!B3:G28,MATCH(20,B4:B29,0),2)</f>
        <v>3254</v>
      </c>
      <c r="E23" s="61">
        <f>INDEX('1bezr.'!B3:G28,MATCH(20,B4:B29,0),3)</f>
        <v>3264</v>
      </c>
      <c r="F23" s="6">
        <f>INDEX('1bezr.'!B3:G28,MATCH(20,B4:B29,0),4)</f>
        <v>-10</v>
      </c>
      <c r="G23" s="61">
        <f>INDEX('1bezr.'!B3:G28,MATCH(20,B4:B29,0),5)</f>
        <v>3482</v>
      </c>
      <c r="H23" s="6">
        <f>INDEX('1bezr.'!B3:G28,MATCH(20,B4:B29,0),6)</f>
        <v>-228</v>
      </c>
      <c r="V23" s="6">
        <f>RANK('1bezr.'!E22,'1bezr.'!$E$3:'1bezr.'!$E$28,1)+COUNTIF('1bezr.'!$E$3:'1bezr.'!E22,'1bezr.'!E22)-1</f>
        <v>19</v>
      </c>
      <c r="W23" s="79" t="str">
        <f>INDEX('1bezr.'!B3:G28,MATCH(20,V4:V29,0),1)</f>
        <v>Rzeszów</v>
      </c>
      <c r="X23" s="6">
        <f>INDEX('1bezr.'!E3:G28,MATCH(20,V4:V29,0),1)</f>
        <v>71</v>
      </c>
      <c r="Y23" s="6">
        <v>13</v>
      </c>
      <c r="Z23" s="2">
        <v>17</v>
      </c>
      <c r="AA23" s="6">
        <f>RANK('1bezr.'!C22,'1bezr.'!$C$3:'1bezr.'!$C$28,1)+COUNTIF('1bezr.'!$C$3:'1bezr.'!C22,'1bezr.'!C22)-1</f>
        <v>19</v>
      </c>
      <c r="AB23" s="79" t="str">
        <f>INDEX('1bezr.'!B3:G28,MATCH(6,AA4:AA29,0),1)</f>
        <v>leski</v>
      </c>
      <c r="AC23" s="6">
        <f>INDEX('1bezr.'!B3:K28,MATCH(6,AA4:AA29,0),2)</f>
        <v>1667</v>
      </c>
    </row>
    <row r="24" spans="2:29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3736</v>
      </c>
      <c r="E24" s="61">
        <f>INDEX('1bezr.'!B3:G28,MATCH(21,B4:B29,0),3)</f>
        <v>3645</v>
      </c>
      <c r="F24" s="6">
        <f>INDEX('1bezr.'!B3:G28,MATCH(21,B4:B29,0),4)</f>
        <v>91</v>
      </c>
      <c r="G24" s="61">
        <f>INDEX('1bezr.'!B3:G28,MATCH(21,B4:B29,0),5)</f>
        <v>3972</v>
      </c>
      <c r="H24" s="6">
        <f>INDEX('1bezr.'!B3:G28,MATCH(21,B4:B29,0),6)</f>
        <v>-236</v>
      </c>
      <c r="V24" s="6">
        <f>RANK('1bezr.'!E23,'1bezr.'!$E$3:'1bezr.'!$E$28,1)+COUNTIF('1bezr.'!$E$3:'1bezr.'!E23,'1bezr.'!E23)-1</f>
        <v>4</v>
      </c>
      <c r="W24" s="79" t="str">
        <f>INDEX('1bezr.'!B3:G28,MATCH(21,V4:V29,0),1)</f>
        <v>brzozowski</v>
      </c>
      <c r="X24" s="6">
        <f>INDEX('1bezr.'!E3:G28,MATCH(21,V4:V29,0),1)</f>
        <v>91</v>
      </c>
      <c r="Y24" s="6">
        <v>14</v>
      </c>
      <c r="Z24" s="2">
        <v>18</v>
      </c>
      <c r="AA24" s="6">
        <f>RANK('1bezr.'!C23,'1bezr.'!$C$3:'1bezr.'!$C$28,1)+COUNTIF('1bezr.'!$C$3:'1bezr.'!C23,'1bezr.'!C23)-1</f>
        <v>4</v>
      </c>
      <c r="AB24" s="79" t="str">
        <f>INDEX('1bezr.'!B3:G28,MATCH(5,AA4:AA29,0),1)</f>
        <v>kolbuszowski</v>
      </c>
      <c r="AC24" s="6">
        <f>INDEX('1bezr.'!B3:K28,MATCH(5,AA4:AA29,0),2)</f>
        <v>1478</v>
      </c>
    </row>
    <row r="25" spans="2:29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4167</v>
      </c>
      <c r="E25" s="61">
        <f>INDEX('1bezr.'!B3:G28,MATCH(22,B4:B29,0),3)</f>
        <v>4157</v>
      </c>
      <c r="F25" s="179">
        <f>INDEX('1bezr.'!B3:G28,MATCH(22,B4:B29,0),4)</f>
        <v>10</v>
      </c>
      <c r="G25" s="61">
        <f>INDEX('1bezr.'!B3:G28,MATCH(22,B4:B29,0),5)</f>
        <v>4641</v>
      </c>
      <c r="H25" s="6">
        <f>INDEX('1bezr.'!B3:G28,MATCH(22,B4:B29,0),6)</f>
        <v>-474</v>
      </c>
      <c r="V25" s="6">
        <f>RANK('1bezr.'!E24,'1bezr.'!$E$3:'1bezr.'!$E$28,1)+COUNTIF('1bezr.'!$E$3:'1bezr.'!E24,'1bezr.'!E24)-1</f>
        <v>5</v>
      </c>
      <c r="W25" s="79" t="str">
        <f>INDEX('1bezr.'!B3:G28,MATCH(22,V4:V29,0),1)</f>
        <v>lubaczowski</v>
      </c>
      <c r="X25" s="6">
        <f>INDEX('1bezr.'!E3:G28,MATCH(22,V4:V29,0),1)</f>
        <v>97</v>
      </c>
      <c r="Y25" s="6">
        <v>15</v>
      </c>
      <c r="Z25" s="2">
        <v>19</v>
      </c>
      <c r="AA25" s="6">
        <f>RANK('1bezr.'!C24,'1bezr.'!$C$3:'1bezr.'!$C$28,1)+COUNTIF('1bezr.'!$C$3:'1bezr.'!C24,'1bezr.'!C24)-1</f>
        <v>1</v>
      </c>
      <c r="AB25" s="79" t="str">
        <f>INDEX('1bezr.'!B3:G28,MATCH(4,AA4:AA29,0),1)</f>
        <v xml:space="preserve">tarnobrzeski </v>
      </c>
      <c r="AC25" s="6">
        <f>INDEX('1bezr.'!B3:K28,MATCH(4,AA4:AA29,0),2)</f>
        <v>1255</v>
      </c>
    </row>
    <row r="26" spans="2:29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4647</v>
      </c>
      <c r="E26" s="61">
        <f>INDEX('1bezr.'!B3:G28,MATCH(23,B4:B29,0),3)</f>
        <v>4533</v>
      </c>
      <c r="F26" s="6">
        <f>INDEX('1bezr.'!B3:G28,MATCH(23,B4:B29,0),4)</f>
        <v>114</v>
      </c>
      <c r="G26" s="61">
        <f>INDEX('1bezr.'!B3:G28,MATCH(23,B4:B29,0),5)</f>
        <v>4933</v>
      </c>
      <c r="H26" s="6">
        <f>INDEX('1bezr.'!B3:G28,MATCH(23,B4:B29,0),6)</f>
        <v>-286</v>
      </c>
      <c r="V26" s="6">
        <f>RANK('1bezr.'!E25,'1bezr.'!$E$3:'1bezr.'!$E$28,1)+COUNTIF('1bezr.'!$E$3:'1bezr.'!E25,'1bezr.'!E25)-1</f>
        <v>6</v>
      </c>
      <c r="W26" s="79" t="str">
        <f>INDEX('1bezr.'!B3:G28,MATCH(23,V4:V29,0),1)</f>
        <v>leski</v>
      </c>
      <c r="X26" s="6">
        <f>INDEX('1bezr.'!E3:G28,MATCH(23,V4:V29,0),1)</f>
        <v>106</v>
      </c>
      <c r="Y26" s="6">
        <v>16</v>
      </c>
      <c r="Z26" s="2">
        <v>20</v>
      </c>
      <c r="AA26" s="6">
        <f>RANK('1bezr.'!C25,'1bezr.'!$C$3:'1bezr.'!$C$28,1)+COUNTIF('1bezr.'!$C$3:'1bezr.'!C25,'1bezr.'!C25)-1</f>
        <v>10</v>
      </c>
      <c r="AB26" s="79" t="str">
        <f>INDEX('1bezr.'!B3:G28,MATCH(3,AA4:AA29,0),1)</f>
        <v>Tarnobrzeg</v>
      </c>
      <c r="AC26" s="6">
        <f>INDEX('1bezr.'!B3:K28,MATCH(3,AA4:AA29,0),2)</f>
        <v>1046</v>
      </c>
    </row>
    <row r="27" spans="2:29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4968</v>
      </c>
      <c r="E27" s="61">
        <f>INDEX('1bezr.'!B3:G28,MATCH(24,B4:B29,0),3)</f>
        <v>4830</v>
      </c>
      <c r="F27" s="6">
        <f>INDEX('1bezr.'!B3:G28,MATCH(24,B4:B29,0),4)</f>
        <v>138</v>
      </c>
      <c r="G27" s="61">
        <f>INDEX('1bezr.'!B3:G28,MATCH(24,B4:B29,0),5)</f>
        <v>4859</v>
      </c>
      <c r="H27" s="6">
        <f>INDEX('1bezr.'!B3:G28,MATCH(24,B4:B29,0),6)</f>
        <v>109</v>
      </c>
      <c r="V27" s="6">
        <f>RANK('1bezr.'!E26,'1bezr.'!$E$3:'1bezr.'!$E$28,1)+COUNTIF('1bezr.'!$E$3:'1bezr.'!E26,'1bezr.'!E26)-1</f>
        <v>20</v>
      </c>
      <c r="W27" s="79" t="str">
        <f>INDEX('1bezr.'!B3:G28,MATCH(24,V4:V29,0),1)</f>
        <v>rzeszowski</v>
      </c>
      <c r="X27" s="6">
        <f>INDEX('1bezr.'!E3:G28,MATCH(24,V4:V29,0),1)</f>
        <v>114</v>
      </c>
      <c r="Y27" s="6">
        <v>17</v>
      </c>
      <c r="Z27" s="2">
        <v>21</v>
      </c>
      <c r="AA27" s="6">
        <f>RANK('1bezr.'!C26,'1bezr.'!$C$3:'1bezr.'!$C$28,1)+COUNTIF('1bezr.'!$C$3:'1bezr.'!C26,'1bezr.'!C26)-1</f>
        <v>25</v>
      </c>
      <c r="AB27" s="79" t="str">
        <f>INDEX('1bezr.'!B3:G28,MATCH(2,AA4:AA29,0),1)</f>
        <v>bieszczadzki</v>
      </c>
      <c r="AC27" s="6">
        <f>INDEX('1bezr.'!B3:K28,MATCH(2,AA4:AA29,0),2)</f>
        <v>1035</v>
      </c>
    </row>
    <row r="28" spans="2:29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5082</v>
      </c>
      <c r="E28" s="61">
        <f>INDEX('1bezr.'!B3:G28,MATCH(25,B4:B29,0),3)</f>
        <v>5011</v>
      </c>
      <c r="F28" s="179">
        <f>INDEX('1bezr.'!B3:G28,MATCH(25,B4:B29,0),4)</f>
        <v>71</v>
      </c>
      <c r="G28" s="61">
        <f>INDEX('1bezr.'!B3:G28,MATCH(25,B4:B29,0),5)</f>
        <v>5553</v>
      </c>
      <c r="H28" s="6">
        <f>INDEX('1bezr.'!B3:G28,MATCH(25,B4:B29,0),6)</f>
        <v>-471</v>
      </c>
      <c r="V28" s="6">
        <f>RANK('1bezr.'!E27,'1bezr.'!$E$3:'1bezr.'!$E$28,1)+COUNTIF('1bezr.'!$E$3:'1bezr.'!E27,'1bezr.'!E27)-1</f>
        <v>2</v>
      </c>
      <c r="W28" s="160" t="str">
        <f>INDEX('1bezr.'!B3:G28,MATCH(25,V4:V29,0),1)</f>
        <v>jasielski</v>
      </c>
      <c r="X28" s="108">
        <f>INDEX('1bezr.'!E3:G28,MATCH(25,V4:V29,0),1)</f>
        <v>138</v>
      </c>
      <c r="Y28" s="6">
        <v>18</v>
      </c>
      <c r="Z28" s="2">
        <v>22</v>
      </c>
      <c r="AA28" s="6">
        <f>RANK('1bezr.'!C27,'1bezr.'!$C$3:'1bezr.'!$C$28,1)+COUNTIF('1bezr.'!$C$3:'1bezr.'!C27,'1bezr.'!C27)-1</f>
        <v>3</v>
      </c>
      <c r="AB28" s="79" t="str">
        <f>INDEX('1bezr.'!B3:G28,MATCH(1,AA4:AA29,0),1)</f>
        <v>Krosno</v>
      </c>
      <c r="AC28" s="6">
        <f>INDEX('1bezr.'!B3:K28,MATCH(1,AA4:AA29,0),2)</f>
        <v>774</v>
      </c>
    </row>
    <row r="29" spans="2:29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65958</v>
      </c>
      <c r="E29" s="63">
        <f>INDEX('1bezr.'!B3:G28,MATCH(26,B4:B29,0),3)</f>
        <v>64968</v>
      </c>
      <c r="F29" s="59">
        <f>INDEX('1bezr.'!B3:G28,MATCH(26,B4:B29,0),4)</f>
        <v>990</v>
      </c>
      <c r="G29" s="63">
        <f>INDEX('1bezr.'!B3:G28,MATCH(26,B4:B29,0),5)</f>
        <v>68031</v>
      </c>
      <c r="H29" s="59">
        <f>INDEX('1bezr.'!B3:G28,MATCH(26,B4:B29,0),6)</f>
        <v>-2073</v>
      </c>
      <c r="V29" s="6">
        <f>RANK('1bezr.'!E28,'1bezr.'!$E$3:'1bezr.'!$E$28,1)+COUNTIF('1bezr.'!$E$3:'1bezr.'!E28,'1bezr.'!E28)-1</f>
        <v>26</v>
      </c>
      <c r="W29" s="161" t="str">
        <f>INDEX('1bezr.'!B3:G28,MATCH(26,V4:V29,0),1)</f>
        <v>województwo</v>
      </c>
      <c r="X29" s="108">
        <f>INDEX('1bezr.'!E3:G28,MATCH(26,V4:V29,0),1)</f>
        <v>990</v>
      </c>
      <c r="Y29" s="6">
        <v>19</v>
      </c>
      <c r="Z29" s="2"/>
      <c r="AA29" s="6">
        <f>RANK('1bezr.'!C28,'1bezr.'!$C$3:'1bezr.'!$C$28,1)+COUNTIF('1bezr.'!$C$3:'1bezr.'!C28,'1bezr.'!C28)-1</f>
        <v>26</v>
      </c>
      <c r="AB29" s="161" t="str">
        <f>INDEX('1bezr.'!B3:G28,MATCH(26,AA4:AA29,0),1)</f>
        <v>województwo</v>
      </c>
      <c r="AC29" s="108">
        <f>INDEX('1bezr.'!B3:K28,MATCH(26,AA4:AA29,0),2)</f>
        <v>65958</v>
      </c>
    </row>
    <row r="30" spans="2:29" x14ac:dyDescent="0.2">
      <c r="F30" s="19"/>
      <c r="H30" s="19"/>
      <c r="X30" s="81">
        <f>SUM(X5:X29)</f>
        <v>2022</v>
      </c>
      <c r="Y30" s="81"/>
      <c r="AC30" s="81">
        <f>SUM(AC4:AC28)</f>
        <v>65958</v>
      </c>
    </row>
  </sheetData>
  <pageMargins left="0" right="0" top="0.31496062992125984" bottom="0.31496062992125984" header="0" footer="0"/>
  <pageSetup paperSize="9" scale="4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85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T('10oferty s.'!B3)</f>
        <v>powiaty</v>
      </c>
      <c r="D3" s="55" t="str">
        <f>T('10oferty s.'!C3)</f>
        <v>liczba ofert w XI '23 r.</v>
      </c>
      <c r="E3" s="55" t="str">
        <f>T('10oferty s.'!D3)</f>
        <v>liczba ofert w X '23 r.</v>
      </c>
      <c r="F3" s="55" t="str">
        <f>T('10oferty s.'!E3)</f>
        <v>wzrost/spadek do poprzedniego  miesiąca</v>
      </c>
      <c r="G3" s="55" t="str">
        <f>T('10oferty s.'!F3)</f>
        <v>liczba ofert w XI '22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3</v>
      </c>
      <c r="C4" s="5" t="str">
        <f>INDEX('10oferty s.'!B4:G29,MATCH(1,B4:B29,0),1)</f>
        <v>przemyski</v>
      </c>
      <c r="D4" s="25">
        <f>INDEX('10oferty s.'!B4:G29,MATCH(1,B4:B29,0),2)</f>
        <v>4</v>
      </c>
      <c r="E4" s="61">
        <f>INDEX('10oferty s.'!B4:G29,MATCH(1,B4:B29,0),3)</f>
        <v>22</v>
      </c>
      <c r="F4" s="6">
        <f>INDEX('10oferty s.'!B4:G29,MATCH(1,B4:B29,0),4)</f>
        <v>-18</v>
      </c>
      <c r="G4" s="61">
        <f>INDEX('10oferty s.'!B4:G29,MATCH(1,B4:B29,0),5)</f>
        <v>22</v>
      </c>
      <c r="H4" s="6">
        <f>INDEX('10oferty s.'!B4:G29,MATCH(1,B4:B29,0),6)</f>
        <v>-18</v>
      </c>
    </row>
    <row r="5" spans="2:8" x14ac:dyDescent="0.2">
      <c r="B5" s="6">
        <f>RANK('10oferty s.'!C5,'10oferty s.'!$C$4:'10oferty s.'!$C$29,1)+COUNTIF('10oferty s.'!$C$4:'10oferty s.'!C5,'10oferty s.'!C5)-1</f>
        <v>13</v>
      </c>
      <c r="C5" s="5" t="str">
        <f>INDEX('10oferty s.'!B4:G29,MATCH(2,B4:B29,0),1)</f>
        <v>leski</v>
      </c>
      <c r="D5" s="6">
        <f>INDEX('10oferty s.'!B4:G29,MATCH(2,B4:B29,0),2)</f>
        <v>5</v>
      </c>
      <c r="E5" s="61">
        <f>INDEX('10oferty s.'!B4:G29,MATCH(2,B4:B29,0),3)</f>
        <v>2</v>
      </c>
      <c r="F5" s="6">
        <f>INDEX('10oferty s.'!B4:G29,MATCH(2,B4:B29,0),4)</f>
        <v>3</v>
      </c>
      <c r="G5" s="61">
        <f>INDEX('10oferty s.'!B4:G29,MATCH(2,B4:B29,0),5)</f>
        <v>7</v>
      </c>
      <c r="H5" s="6">
        <f>INDEX('10oferty s.'!B4:G29,MATCH(2,B4:B29,0),6)</f>
        <v>-2</v>
      </c>
    </row>
    <row r="6" spans="2:8" x14ac:dyDescent="0.2">
      <c r="B6" s="6">
        <f>RANK('10oferty s.'!C6,'10oferty s.'!$C$4:'10oferty s.'!$C$29,1)+COUNTIF('10oferty s.'!$C$4:'10oferty s.'!C6,'10oferty s.'!C6)-1</f>
        <v>9</v>
      </c>
      <c r="C6" s="5" t="str">
        <f>INDEX('10oferty s.'!B4:G29,MATCH(3,B4:B29,0),1)</f>
        <v>bieszczadzki</v>
      </c>
      <c r="D6" s="6">
        <f>INDEX('10oferty s.'!B4:G29,MATCH(3,B4:B29,0),2)</f>
        <v>6</v>
      </c>
      <c r="E6" s="61">
        <f>INDEX('10oferty s.'!B4:G29,MATCH(3,B4:B29,0),3)</f>
        <v>3</v>
      </c>
      <c r="F6" s="6">
        <f>INDEX('10oferty s.'!B4:G29,MATCH(3,B4:B29,0),4)</f>
        <v>3</v>
      </c>
      <c r="G6" s="61">
        <f>INDEX('10oferty s.'!B4:G29,MATCH(3,B4:B29,0),5)</f>
        <v>4</v>
      </c>
      <c r="H6" s="6">
        <f>INDEX('10oferty s.'!B4:G29,MATCH(3,B4:B29,0),6)</f>
        <v>2</v>
      </c>
    </row>
    <row r="7" spans="2:8" x14ac:dyDescent="0.2">
      <c r="B7" s="6">
        <f>RANK('10oferty s.'!C7,'10oferty s.'!$C$4:'10oferty s.'!$C$29,1)+COUNTIF('10oferty s.'!$C$4:'10oferty s.'!C7,'10oferty s.'!C7)-1</f>
        <v>25</v>
      </c>
      <c r="C7" s="5" t="str">
        <f>INDEX('10oferty s.'!B4:G29,MATCH(4,B4:B29,0),1)</f>
        <v>łańcucki</v>
      </c>
      <c r="D7" s="6">
        <f>INDEX('10oferty s.'!B4:G29,MATCH(4,B4:B29,0),2)</f>
        <v>8</v>
      </c>
      <c r="E7" s="61">
        <f>INDEX('10oferty s.'!B4:G29,MATCH(4,B4:B29,0),3)</f>
        <v>4</v>
      </c>
      <c r="F7" s="6">
        <f>INDEX('10oferty s.'!B4:G29,MATCH(4,B4:B29,0),4)</f>
        <v>4</v>
      </c>
      <c r="G7" s="61">
        <f>INDEX('10oferty s.'!B4:G29,MATCH(4,B4:B29,0),5)</f>
        <v>27</v>
      </c>
      <c r="H7" s="6">
        <f>INDEX('10oferty s.'!B4:G29,MATCH(4,B4:B29,0),6)</f>
        <v>-19</v>
      </c>
    </row>
    <row r="8" spans="2:8" x14ac:dyDescent="0.2">
      <c r="B8" s="6">
        <f>RANK('10oferty s.'!C8,'10oferty s.'!$C$4:'10oferty s.'!$C$29,1)+COUNTIF('10oferty s.'!$C$4:'10oferty s.'!C8,'10oferty s.'!C8)-1</f>
        <v>20</v>
      </c>
      <c r="C8" s="5" t="str">
        <f>INDEX('10oferty s.'!B4:G29,MATCH(5,B4:B29,0),1)</f>
        <v xml:space="preserve">tarnobrzeski </v>
      </c>
      <c r="D8" s="6">
        <f>INDEX('10oferty s.'!B4:G29,MATCH(5,B4:B29,0),2)</f>
        <v>9</v>
      </c>
      <c r="E8" s="61">
        <f>INDEX('10oferty s.'!B4:G29,MATCH(5,B4:B29,0),3)</f>
        <v>31</v>
      </c>
      <c r="F8" s="6">
        <f>INDEX('10oferty s.'!B4:G29,MATCH(5,B4:B29,0),4)</f>
        <v>-22</v>
      </c>
      <c r="G8" s="61">
        <f>INDEX('10oferty s.'!B4:G29,MATCH(5,B4:B29,0),5)</f>
        <v>19</v>
      </c>
      <c r="H8" s="6">
        <f>INDEX('10oferty s.'!B4:G29,MATCH(5,B4:B29,0),6)</f>
        <v>-10</v>
      </c>
    </row>
    <row r="9" spans="2:8" x14ac:dyDescent="0.2">
      <c r="B9" s="6">
        <f>RANK('10oferty s.'!C9,'10oferty s.'!$C$4:'10oferty s.'!$C$29,1)+COUNTIF('10oferty s.'!$C$4:'10oferty s.'!C9,'10oferty s.'!C9)-1</f>
        <v>15</v>
      </c>
      <c r="C9" s="5" t="str">
        <f>INDEX('10oferty s.'!B4:G29,MATCH(6,B4:B29,0),1)</f>
        <v>Krosno</v>
      </c>
      <c r="D9" s="6">
        <f>INDEX('10oferty s.'!B4:G29,MATCH(6,B4:B29,0),2)</f>
        <v>10</v>
      </c>
      <c r="E9" s="61">
        <f>INDEX('10oferty s.'!B4:G29,MATCH(6,B4:B29,0),3)</f>
        <v>28</v>
      </c>
      <c r="F9" s="6">
        <f>INDEX('10oferty s.'!B4:G29,MATCH(6,B4:B29,0),4)</f>
        <v>-18</v>
      </c>
      <c r="G9" s="61">
        <f>INDEX('10oferty s.'!B4:G29,MATCH(6,B4:B29,0),5)</f>
        <v>26</v>
      </c>
      <c r="H9" s="6">
        <f>INDEX('10oferty s.'!B4:G29,MATCH(6,B4:B29,0),6)</f>
        <v>-16</v>
      </c>
    </row>
    <row r="10" spans="2:8" x14ac:dyDescent="0.2">
      <c r="B10" s="6">
        <f>RANK('10oferty s.'!C10,'10oferty s.'!$C$4:'10oferty s.'!$C$29,1)+COUNTIF('10oferty s.'!$C$4:'10oferty s.'!C10,'10oferty s.'!C10)-1</f>
        <v>8</v>
      </c>
      <c r="C10" s="9" t="str">
        <f>INDEX('10oferty s.'!B4:G29,MATCH(7,B4:B29,0),1)</f>
        <v>Przemyśl</v>
      </c>
      <c r="D10" s="6">
        <f>INDEX('10oferty s.'!B4:G29,MATCH(7,B4:B29,0),2)</f>
        <v>16</v>
      </c>
      <c r="E10" s="61">
        <f>INDEX('10oferty s.'!B4:G29,MATCH(7,B4:B29,0),3)</f>
        <v>28</v>
      </c>
      <c r="F10" s="6">
        <f>INDEX('10oferty s.'!B4:G29,MATCH(7,B4:B29,0),4)</f>
        <v>-12</v>
      </c>
      <c r="G10" s="61">
        <f>INDEX('10oferty s.'!B4:G29,MATCH(7,B4:B29,0),5)</f>
        <v>45</v>
      </c>
      <c r="H10" s="6">
        <f>INDEX('10oferty s.'!B4:G29,MATCH(7,B4:B29,0),6)</f>
        <v>-29</v>
      </c>
    </row>
    <row r="11" spans="2:8" x14ac:dyDescent="0.2">
      <c r="B11" s="6">
        <f>RANK('10oferty s.'!C11,'10oferty s.'!$C$4:'10oferty s.'!$C$29,1)+COUNTIF('10oferty s.'!$C$4:'10oferty s.'!C11,'10oferty s.'!C11)-1</f>
        <v>2</v>
      </c>
      <c r="C11" s="5" t="str">
        <f>INDEX('10oferty s.'!B4:G29,MATCH(8,B4:B29,0),1)</f>
        <v>krośnieński</v>
      </c>
      <c r="D11" s="6">
        <f>INDEX('10oferty s.'!B4:G29,MATCH(8,B4:B29,0),2)</f>
        <v>17</v>
      </c>
      <c r="E11" s="61">
        <f>INDEX('10oferty s.'!B4:G29,MATCH(8,B4:B29,0),3)</f>
        <v>18</v>
      </c>
      <c r="F11" s="6">
        <f>INDEX('10oferty s.'!B4:G29,MATCH(8,B4:B29,0),4)</f>
        <v>-1</v>
      </c>
      <c r="G11" s="61">
        <f>INDEX('10oferty s.'!B4:G29,MATCH(8,B4:B29,0),5)</f>
        <v>30</v>
      </c>
      <c r="H11" s="6">
        <f>INDEX('10oferty s.'!B4:G29,MATCH(8,B4:B29,0),6)</f>
        <v>-13</v>
      </c>
    </row>
    <row r="12" spans="2:8" x14ac:dyDescent="0.2">
      <c r="B12" s="6">
        <f>RANK('10oferty s.'!C12,'10oferty s.'!$C$4:'10oferty s.'!$C$29,1)+COUNTIF('10oferty s.'!$C$4:'10oferty s.'!C12,'10oferty s.'!C12)-1</f>
        <v>14</v>
      </c>
      <c r="C12" s="5" t="str">
        <f>INDEX('10oferty s.'!B4:G29,MATCH(9,B4:B29,0),1)</f>
        <v>dębicki</v>
      </c>
      <c r="D12" s="6">
        <f>INDEX('10oferty s.'!B4:G29,MATCH(9,B4:B29,0),2)</f>
        <v>19</v>
      </c>
      <c r="E12" s="61">
        <f>INDEX('10oferty s.'!B4:G29,MATCH(9,B4:B29,0),3)</f>
        <v>46</v>
      </c>
      <c r="F12" s="6">
        <f>INDEX('10oferty s.'!B4:G29,MATCH(9,B4:B29,0),4)</f>
        <v>-27</v>
      </c>
      <c r="G12" s="61">
        <f>INDEX('10oferty s.'!B4:G29,MATCH(9,B4:B29,0),5)</f>
        <v>19</v>
      </c>
      <c r="H12" s="6">
        <f>INDEX('10oferty s.'!B4:G29,MATCH(9,B4:B29,0),6)</f>
        <v>0</v>
      </c>
    </row>
    <row r="13" spans="2:8" x14ac:dyDescent="0.2">
      <c r="B13" s="6">
        <f>RANK('10oferty s.'!C13,'10oferty s.'!$C$4:'10oferty s.'!$C$29,1)+COUNTIF('10oferty s.'!$C$4:'10oferty s.'!C13,'10oferty s.'!C13)-1</f>
        <v>18</v>
      </c>
      <c r="C13" s="5" t="str">
        <f>INDEX('10oferty s.'!B4:G29,MATCH(10,B4:B29,0),1)</f>
        <v>stalowowolski</v>
      </c>
      <c r="D13" s="6">
        <f>INDEX('10oferty s.'!B4:G29,MATCH(10,B4:B29,0),2)</f>
        <v>19</v>
      </c>
      <c r="E13" s="61">
        <f>INDEX('10oferty s.'!B4:G29,MATCH(10,B4:B29,0),3)</f>
        <v>17</v>
      </c>
      <c r="F13" s="6">
        <f>INDEX('10oferty s.'!B4:G29,MATCH(10,B4:B29,0),4)</f>
        <v>2</v>
      </c>
      <c r="G13" s="61">
        <f>INDEX('10oferty s.'!B4:G29,MATCH(10,B4:B29,0),5)</f>
        <v>47</v>
      </c>
      <c r="H13" s="6">
        <f>INDEX('10oferty s.'!B4:G29,MATCH(10,B4:B29,0),6)</f>
        <v>-28</v>
      </c>
    </row>
    <row r="14" spans="2:8" x14ac:dyDescent="0.2">
      <c r="B14" s="6">
        <f>RANK('10oferty s.'!C14,'10oferty s.'!$C$4:'10oferty s.'!$C$29,1)+COUNTIF('10oferty s.'!$C$4:'10oferty s.'!C14,'10oferty s.'!C14)-1</f>
        <v>4</v>
      </c>
      <c r="C14" s="5" t="str">
        <f>INDEX('10oferty s.'!B4:G29,MATCH(11,B4:B29,0),1)</f>
        <v>Tarnobrzeg</v>
      </c>
      <c r="D14" s="6">
        <f>INDEX('10oferty s.'!B4:G29,MATCH(11,B4:B29,0),2)</f>
        <v>19</v>
      </c>
      <c r="E14" s="61">
        <f>INDEX('10oferty s.'!B4:G29,MATCH(11,B4:B29,0),3)</f>
        <v>13</v>
      </c>
      <c r="F14" s="6">
        <f>INDEX('10oferty s.'!B4:G29,MATCH(11,B4:B29,0),4)</f>
        <v>6</v>
      </c>
      <c r="G14" s="61">
        <f>INDEX('10oferty s.'!B4:G29,MATCH(11,B4:B29,0),5)</f>
        <v>21</v>
      </c>
      <c r="H14" s="6">
        <f>INDEX('10oferty s.'!B4:G29,MATCH(11,B4:B29,0),6)</f>
        <v>-2</v>
      </c>
    </row>
    <row r="15" spans="2:8" x14ac:dyDescent="0.2">
      <c r="B15" s="6">
        <f>RANK('10oferty s.'!C15,'10oferty s.'!$C$4:'10oferty s.'!$C$29,1)+COUNTIF('10oferty s.'!$C$4:'10oferty s.'!C15,'10oferty s.'!C15)-1</f>
        <v>12</v>
      </c>
      <c r="C15" s="5" t="str">
        <f>INDEX('10oferty s.'!B4:G29,MATCH(12,B4:B29,0),1)</f>
        <v>mielecki</v>
      </c>
      <c r="D15" s="6">
        <f>INDEX('10oferty s.'!B4:G29,MATCH(12,B4:B29,0),2)</f>
        <v>21</v>
      </c>
      <c r="E15" s="61">
        <f>INDEX('10oferty s.'!B4:G29,MATCH(12,B4:B29,0),3)</f>
        <v>18</v>
      </c>
      <c r="F15" s="6">
        <f>INDEX('10oferty s.'!B4:G29,MATCH(12,B4:B29,0),4)</f>
        <v>3</v>
      </c>
      <c r="G15" s="61">
        <f>INDEX('10oferty s.'!B4:G29,MATCH(12,B4:B29,0),5)</f>
        <v>130</v>
      </c>
      <c r="H15" s="6">
        <f>INDEX('10oferty s.'!B4:G29,MATCH(12,B4:B29,0),6)</f>
        <v>-109</v>
      </c>
    </row>
    <row r="16" spans="2:8" x14ac:dyDescent="0.2">
      <c r="B16" s="6">
        <f>RANK('10oferty s.'!C16,'10oferty s.'!$C$4:'10oferty s.'!$C$29,1)+COUNTIF('10oferty s.'!$C$4:'10oferty s.'!C16,'10oferty s.'!C16)-1</f>
        <v>19</v>
      </c>
      <c r="C16" s="5" t="str">
        <f>INDEX('10oferty s.'!B4:G29,MATCH(13,B4:B29,0),1)</f>
        <v>brzozowski</v>
      </c>
      <c r="D16" s="6">
        <f>INDEX('10oferty s.'!B4:G29,MATCH(13,B4:B29,0),2)</f>
        <v>23</v>
      </c>
      <c r="E16" s="61">
        <f>INDEX('10oferty s.'!B4:G29,MATCH(13,B4:B29,0),3)</f>
        <v>35</v>
      </c>
      <c r="F16" s="6">
        <f>INDEX('10oferty s.'!B4:G29,MATCH(13,B4:B29,0),4)</f>
        <v>-12</v>
      </c>
      <c r="G16" s="61">
        <f>INDEX('10oferty s.'!B4:G29,MATCH(13,B4:B29,0),5)</f>
        <v>71</v>
      </c>
      <c r="H16" s="6">
        <f>INDEX('10oferty s.'!B4:G29,MATCH(13,B4:B29,0),6)</f>
        <v>-48</v>
      </c>
    </row>
    <row r="17" spans="2:8" x14ac:dyDescent="0.2">
      <c r="B17" s="6">
        <f>RANK('10oferty s.'!C17,'10oferty s.'!$C$4:'10oferty s.'!$C$29,1)+COUNTIF('10oferty s.'!$C$4:'10oferty s.'!C17,'10oferty s.'!C17)-1</f>
        <v>1</v>
      </c>
      <c r="C17" s="5" t="str">
        <f>INDEX('10oferty s.'!B4:G29,MATCH(14,B4:B29,0),1)</f>
        <v>leżajski</v>
      </c>
      <c r="D17" s="6">
        <f>INDEX('10oferty s.'!B4:G29,MATCH(14,B4:B29,0),2)</f>
        <v>23</v>
      </c>
      <c r="E17" s="61">
        <f>INDEX('10oferty s.'!B4:G29,MATCH(14,B4:B29,0),3)</f>
        <v>5</v>
      </c>
      <c r="F17" s="6">
        <f>INDEX('10oferty s.'!B4:G29,MATCH(14,B4:B29,0),4)</f>
        <v>18</v>
      </c>
      <c r="G17" s="61">
        <f>INDEX('10oferty s.'!B4:G29,MATCH(14,B4:B29,0),5)</f>
        <v>3</v>
      </c>
      <c r="H17" s="6">
        <f>INDEX('10oferty s.'!B4:G29,MATCH(14,B4:B29,0),6)</f>
        <v>20</v>
      </c>
    </row>
    <row r="18" spans="2:8" x14ac:dyDescent="0.2">
      <c r="B18" s="6">
        <f>RANK('10oferty s.'!C18,'10oferty s.'!$C$4:'10oferty s.'!$C$29,1)+COUNTIF('10oferty s.'!$C$4:'10oferty s.'!C18,'10oferty s.'!C18)-1</f>
        <v>24</v>
      </c>
      <c r="C18" s="5" t="str">
        <f>INDEX('10oferty s.'!B4:G29,MATCH(15,B4:B29,0),1)</f>
        <v>kolbuszowski</v>
      </c>
      <c r="D18" s="6">
        <f>INDEX('10oferty s.'!B4:G29,MATCH(15,B4:B29,0),2)</f>
        <v>26</v>
      </c>
      <c r="E18" s="61">
        <f>INDEX('10oferty s.'!B4:G29,MATCH(15,B4:B29,0),3)</f>
        <v>43</v>
      </c>
      <c r="F18" s="6">
        <f>INDEX('10oferty s.'!B4:G29,MATCH(15,B4:B29,0),4)</f>
        <v>-17</v>
      </c>
      <c r="G18" s="61">
        <f>INDEX('10oferty s.'!B4:G29,MATCH(15,B4:B29,0),5)</f>
        <v>38</v>
      </c>
      <c r="H18" s="6">
        <f>INDEX('10oferty s.'!B4:G29,MATCH(15,B4:B29,0),6)</f>
        <v>-12</v>
      </c>
    </row>
    <row r="19" spans="2:8" x14ac:dyDescent="0.2">
      <c r="B19" s="6">
        <f>RANK('10oferty s.'!C19,'10oferty s.'!$C$4:'10oferty s.'!$C$29,1)+COUNTIF('10oferty s.'!$C$4:'10oferty s.'!C19,'10oferty s.'!C19)-1</f>
        <v>22</v>
      </c>
      <c r="C19" s="5" t="str">
        <f>INDEX('10oferty s.'!B4:G29,MATCH(16,B4:B29,0),1)</f>
        <v>rzeszowski</v>
      </c>
      <c r="D19" s="6">
        <f>INDEX('10oferty s.'!B4:G29,MATCH(16,B4:B29,0),2)</f>
        <v>26</v>
      </c>
      <c r="E19" s="61">
        <f>INDEX('10oferty s.'!B4:G29,MATCH(16,B4:B29,0),3)</f>
        <v>19</v>
      </c>
      <c r="F19" s="6">
        <f>INDEX('10oferty s.'!B4:G29,MATCH(16,B4:B29,0),4)</f>
        <v>7</v>
      </c>
      <c r="G19" s="61">
        <f>INDEX('10oferty s.'!B4:G29,MATCH(16,B4:B29,0),5)</f>
        <v>26</v>
      </c>
      <c r="H19" s="6">
        <f>INDEX('10oferty s.'!B4:G29,MATCH(16,B4:B29,0),6)</f>
        <v>0</v>
      </c>
    </row>
    <row r="20" spans="2:8" x14ac:dyDescent="0.2">
      <c r="B20" s="6">
        <f>RANK('10oferty s.'!C20,'10oferty s.'!$C$4:'10oferty s.'!$C$29,1)+COUNTIF('10oferty s.'!$C$4:'10oferty s.'!C20,'10oferty s.'!C20)-1</f>
        <v>16</v>
      </c>
      <c r="C20" s="5" t="str">
        <f>INDEX('10oferty s.'!B4:G29,MATCH(17,B4:B29,0),1)</f>
        <v>strzyżowski</v>
      </c>
      <c r="D20" s="6">
        <f>INDEX('10oferty s.'!B4:G29,MATCH(17,B4:B29,0),2)</f>
        <v>26</v>
      </c>
      <c r="E20" s="61">
        <f>INDEX('10oferty s.'!B4:G29,MATCH(17,B4:B29,0),3)</f>
        <v>71</v>
      </c>
      <c r="F20" s="6">
        <f>INDEX('10oferty s.'!B4:G29,MATCH(17,B4:B29,0),4)</f>
        <v>-45</v>
      </c>
      <c r="G20" s="61">
        <f>INDEX('10oferty s.'!B4:G29,MATCH(17,B4:B29,0),5)</f>
        <v>70</v>
      </c>
      <c r="H20" s="6">
        <f>INDEX('10oferty s.'!B4:G29,MATCH(17,B4:B29,0),6)</f>
        <v>-44</v>
      </c>
    </row>
    <row r="21" spans="2:8" x14ac:dyDescent="0.2">
      <c r="B21" s="6">
        <f>RANK('10oferty s.'!C21,'10oferty s.'!$C$4:'10oferty s.'!$C$29,1)+COUNTIF('10oferty s.'!$C$4:'10oferty s.'!C21,'10oferty s.'!C21)-1</f>
        <v>21</v>
      </c>
      <c r="C21" s="5" t="str">
        <f>INDEX('10oferty s.'!B4:G29,MATCH(18,B4:B29,0),1)</f>
        <v>lubaczowski</v>
      </c>
      <c r="D21" s="6">
        <f>INDEX('10oferty s.'!B4:G29,MATCH(18,B4:B29,0),2)</f>
        <v>29</v>
      </c>
      <c r="E21" s="61">
        <f>INDEX('10oferty s.'!B4:G29,MATCH(18,B4:B29,0),3)</f>
        <v>45</v>
      </c>
      <c r="F21" s="6">
        <f>INDEX('10oferty s.'!B4:G29,MATCH(18,B4:B29,0),4)</f>
        <v>-16</v>
      </c>
      <c r="G21" s="61">
        <f>INDEX('10oferty s.'!B4:G29,MATCH(18,B4:B29,0),5)</f>
        <v>18</v>
      </c>
      <c r="H21" s="6">
        <f>INDEX('10oferty s.'!B4:G29,MATCH(18,B4:B29,0),6)</f>
        <v>11</v>
      </c>
    </row>
    <row r="22" spans="2:8" x14ac:dyDescent="0.2">
      <c r="B22" s="6">
        <f>RANK('10oferty s.'!C22,'10oferty s.'!$C$4:'10oferty s.'!$C$29,1)+COUNTIF('10oferty s.'!$C$4:'10oferty s.'!C22,'10oferty s.'!C22)-1</f>
        <v>10</v>
      </c>
      <c r="C22" s="5" t="str">
        <f>INDEX('10oferty s.'!B4:G29,MATCH(19,B4:B29,0),1)</f>
        <v>niżański</v>
      </c>
      <c r="D22" s="6">
        <f>INDEX('10oferty s.'!B4:G29,MATCH(19,B4:B29,0),2)</f>
        <v>34</v>
      </c>
      <c r="E22" s="61">
        <f>INDEX('10oferty s.'!B4:G29,MATCH(19,B4:B29,0),3)</f>
        <v>44</v>
      </c>
      <c r="F22" s="6">
        <f>INDEX('10oferty s.'!B4:G29,MATCH(19,B4:B29,0),4)</f>
        <v>-10</v>
      </c>
      <c r="G22" s="61">
        <f>INDEX('10oferty s.'!B4:G29,MATCH(19,B4:B29,0),5)</f>
        <v>57</v>
      </c>
      <c r="H22" s="6">
        <f>INDEX('10oferty s.'!B4:G29,MATCH(19,B4:B29,0),6)</f>
        <v>-23</v>
      </c>
    </row>
    <row r="23" spans="2:8" x14ac:dyDescent="0.2">
      <c r="B23" s="6">
        <f>RANK('10oferty s.'!C23,'10oferty s.'!$C$4:'10oferty s.'!$C$29,1)+COUNTIF('10oferty s.'!$C$4:'10oferty s.'!C23,'10oferty s.'!C23)-1</f>
        <v>17</v>
      </c>
      <c r="C23" s="5" t="str">
        <f>INDEX('10oferty s.'!B4:G29,MATCH(20,B4:B29,0),1)</f>
        <v>jasielski</v>
      </c>
      <c r="D23" s="6">
        <f>INDEX('10oferty s.'!B4:G29,MATCH(20,B4:B29,0),2)</f>
        <v>40</v>
      </c>
      <c r="E23" s="61">
        <f>INDEX('10oferty s.'!B4:G29,MATCH(20,B4:B29,0),3)</f>
        <v>48</v>
      </c>
      <c r="F23" s="6">
        <f>INDEX('10oferty s.'!B4:G29,MATCH(20,B4:B29,0),4)</f>
        <v>-8</v>
      </c>
      <c r="G23" s="61">
        <f>INDEX('10oferty s.'!B4:G29,MATCH(20,B4:B29,0),5)</f>
        <v>40</v>
      </c>
      <c r="H23" s="6">
        <f>INDEX('10oferty s.'!B4:G29,MATCH(20,B4:B29,0),6)</f>
        <v>0</v>
      </c>
    </row>
    <row r="24" spans="2:8" x14ac:dyDescent="0.2">
      <c r="B24" s="6">
        <f>RANK('10oferty s.'!C24,'10oferty s.'!$C$4:'10oferty s.'!$C$29,1)+COUNTIF('10oferty s.'!$C$4:'10oferty s.'!C24,'10oferty s.'!C24)-1</f>
        <v>5</v>
      </c>
      <c r="C24" s="5" t="str">
        <f>INDEX('10oferty s.'!B4:G29,MATCH(21,B4:B29,0),1)</f>
        <v>sanocki</v>
      </c>
      <c r="D24" s="6">
        <f>INDEX('10oferty s.'!B4:G29,MATCH(21,B4:B29,0),2)</f>
        <v>47</v>
      </c>
      <c r="E24" s="61">
        <f>INDEX('10oferty s.'!B4:G29,MATCH(21,B4:B29,0),3)</f>
        <v>57</v>
      </c>
      <c r="F24" s="6">
        <f>INDEX('10oferty s.'!B4:G29,MATCH(21,B4:B29,0),4)</f>
        <v>-10</v>
      </c>
      <c r="G24" s="61">
        <f>INDEX('10oferty s.'!B4:G29,MATCH(21,B4:B29,0),5)</f>
        <v>33</v>
      </c>
      <c r="H24" s="6">
        <f>INDEX('10oferty s.'!B4:G29,MATCH(21,B4:B29,0),6)</f>
        <v>14</v>
      </c>
    </row>
    <row r="25" spans="2:8" x14ac:dyDescent="0.2">
      <c r="B25" s="6">
        <f>RANK('10oferty s.'!C25,'10oferty s.'!$C$4:'10oferty s.'!$C$29,1)+COUNTIF('10oferty s.'!$C$4:'10oferty s.'!C25,'10oferty s.'!C25)-1</f>
        <v>6</v>
      </c>
      <c r="C25" s="5" t="str">
        <f>INDEX('10oferty s.'!B4:G29,MATCH(22,B4:B29,0),1)</f>
        <v>ropczycko-sędziszowski</v>
      </c>
      <c r="D25" s="6">
        <f>INDEX('10oferty s.'!B4:G29,MATCH(22,B4:B29,0),2)</f>
        <v>55</v>
      </c>
      <c r="E25" s="61">
        <f>INDEX('10oferty s.'!B4:G29,MATCH(22,B4:B29,0),3)</f>
        <v>64</v>
      </c>
      <c r="F25" s="6">
        <f>INDEX('10oferty s.'!B4:G29,MATCH(22,B4:B29,0),4)</f>
        <v>-9</v>
      </c>
      <c r="G25" s="61">
        <f>INDEX('10oferty s.'!B4:G29,MATCH(22,B4:B29,0),5)</f>
        <v>61</v>
      </c>
      <c r="H25" s="6">
        <f>INDEX('10oferty s.'!B4:G29,MATCH(22,B4:B29,0),6)</f>
        <v>-6</v>
      </c>
    </row>
    <row r="26" spans="2:8" x14ac:dyDescent="0.2">
      <c r="B26" s="6">
        <f>RANK('10oferty s.'!C26,'10oferty s.'!$C$4:'10oferty s.'!$C$29,1)+COUNTIF('10oferty s.'!$C$4:'10oferty s.'!C26,'10oferty s.'!C26)-1</f>
        <v>7</v>
      </c>
      <c r="C26" s="5" t="str">
        <f>INDEX('10oferty s.'!B4:G29,MATCH(23,B4:B29,0),1)</f>
        <v>Rzeszów</v>
      </c>
      <c r="D26" s="6">
        <f>INDEX('10oferty s.'!B4:G29,MATCH(23,B4:B29,0),2)</f>
        <v>67</v>
      </c>
      <c r="E26" s="61">
        <f>INDEX('10oferty s.'!B4:G29,MATCH(23,B4:B29,0),3)</f>
        <v>50</v>
      </c>
      <c r="F26" s="6">
        <f>INDEX('10oferty s.'!B4:G29,MATCH(23,B4:B29,0),4)</f>
        <v>17</v>
      </c>
      <c r="G26" s="61">
        <f>INDEX('10oferty s.'!B4:G29,MATCH(23,B4:B29,0),5)</f>
        <v>78</v>
      </c>
      <c r="H26" s="6">
        <f>INDEX('10oferty s.'!B4:G29,MATCH(23,B4:B29,0),6)</f>
        <v>-11</v>
      </c>
    </row>
    <row r="27" spans="2:8" x14ac:dyDescent="0.2">
      <c r="B27" s="6">
        <f>RANK('10oferty s.'!C27,'10oferty s.'!$C$4:'10oferty s.'!$C$29,1)+COUNTIF('10oferty s.'!$C$4:'10oferty s.'!C27,'10oferty s.'!C27)-1</f>
        <v>23</v>
      </c>
      <c r="C27" s="5" t="str">
        <f>INDEX('10oferty s.'!B4:G29,MATCH(24,B4:B29,0),1)</f>
        <v>przeworski</v>
      </c>
      <c r="D27" s="6">
        <f>INDEX('10oferty s.'!B4:G29,MATCH(24,B4:B29,0),2)</f>
        <v>139</v>
      </c>
      <c r="E27" s="61">
        <f>INDEX('10oferty s.'!B4:G29,MATCH(24,B4:B29,0),3)</f>
        <v>82</v>
      </c>
      <c r="F27" s="6">
        <f>INDEX('10oferty s.'!B4:G29,MATCH(24,B4:B29,0),4)</f>
        <v>57</v>
      </c>
      <c r="G27" s="61">
        <f>INDEX('10oferty s.'!B4:G29,MATCH(24,B4:B29,0),5)</f>
        <v>101</v>
      </c>
      <c r="H27" s="6">
        <f>INDEX('10oferty s.'!B4:G29,MATCH(24,B4:B29,0),6)</f>
        <v>38</v>
      </c>
    </row>
    <row r="28" spans="2:8" x14ac:dyDescent="0.2">
      <c r="B28" s="6">
        <f>RANK('10oferty s.'!C28,'10oferty s.'!$C$4:'10oferty s.'!$C$29,1)+COUNTIF('10oferty s.'!$C$4:'10oferty s.'!C28,'10oferty s.'!C28)-1</f>
        <v>11</v>
      </c>
      <c r="C28" s="5" t="str">
        <f>INDEX('10oferty s.'!B4:G29,MATCH(25,B4:B29,0),1)</f>
        <v>jarosławski</v>
      </c>
      <c r="D28" s="6">
        <f>INDEX('10oferty s.'!B4:G29,MATCH(25,B4:B29,0),2)</f>
        <v>159</v>
      </c>
      <c r="E28" s="61">
        <f>INDEX('10oferty s.'!B4:G29,MATCH(25,B4:B29,0),3)</f>
        <v>67</v>
      </c>
      <c r="F28" s="6">
        <f>INDEX('10oferty s.'!B4:G29,MATCH(25,B4:B29,0),4)</f>
        <v>92</v>
      </c>
      <c r="G28" s="61">
        <f>INDEX('10oferty s.'!B4:G29,MATCH(25,B4:B29,0),5)</f>
        <v>36</v>
      </c>
      <c r="H28" s="6">
        <f>INDEX('10oferty s.'!B4:G29,MATCH(25,B4:B29,0),6)</f>
        <v>123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847</v>
      </c>
      <c r="E29" s="63">
        <f>INDEX('10oferty s.'!B4:G29,MATCH(26,B4:B29,0),3)</f>
        <v>860</v>
      </c>
      <c r="F29" s="59">
        <f>INDEX('10oferty s.'!B4:G29,MATCH(26,B4:B29,0),4)</f>
        <v>-13</v>
      </c>
      <c r="G29" s="63">
        <f>INDEX('10oferty s.'!B4:G29,MATCH(26,B4:B29,0),5)</f>
        <v>1029</v>
      </c>
      <c r="H29" s="59">
        <f>INDEX('10oferty s.'!B4:G29,MATCH(26,B4:B29,0),6)</f>
        <v>-182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124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125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150</v>
      </c>
      <c r="D3" s="57" t="s">
        <v>120</v>
      </c>
      <c r="E3" s="56" t="s">
        <v>28</v>
      </c>
      <c r="F3" s="57" t="s">
        <v>149</v>
      </c>
      <c r="G3" s="56" t="s">
        <v>26</v>
      </c>
    </row>
    <row r="4" spans="2:11" x14ac:dyDescent="0.2">
      <c r="B4" s="5" t="s">
        <v>0</v>
      </c>
      <c r="C4" s="45">
        <v>26</v>
      </c>
      <c r="D4" s="61">
        <v>36</v>
      </c>
      <c r="E4" s="45">
        <f t="shared" ref="E4:E28" si="0">SUM(C4)-D4</f>
        <v>-10</v>
      </c>
      <c r="F4" s="61">
        <v>19</v>
      </c>
      <c r="G4" s="45">
        <f t="shared" ref="G4:G28" si="1">SUM(C4)-F4</f>
        <v>7</v>
      </c>
      <c r="H4" s="7"/>
    </row>
    <row r="5" spans="2:11" x14ac:dyDescent="0.2">
      <c r="B5" s="5" t="s">
        <v>1</v>
      </c>
      <c r="C5" s="45">
        <v>3</v>
      </c>
      <c r="D5" s="61">
        <v>5</v>
      </c>
      <c r="E5" s="45">
        <f t="shared" si="0"/>
        <v>-2</v>
      </c>
      <c r="F5" s="61">
        <v>4</v>
      </c>
      <c r="G5" s="45">
        <f t="shared" si="1"/>
        <v>-1</v>
      </c>
      <c r="H5" s="7"/>
    </row>
    <row r="6" spans="2:11" x14ac:dyDescent="0.2">
      <c r="B6" s="5" t="s">
        <v>2</v>
      </c>
      <c r="C6" s="45">
        <v>127</v>
      </c>
      <c r="D6" s="61">
        <v>131</v>
      </c>
      <c r="E6" s="45">
        <f t="shared" si="0"/>
        <v>-4</v>
      </c>
      <c r="F6" s="61">
        <v>166</v>
      </c>
      <c r="G6" s="45">
        <f t="shared" si="1"/>
        <v>-39</v>
      </c>
      <c r="H6" s="7"/>
    </row>
    <row r="7" spans="2:11" x14ac:dyDescent="0.2">
      <c r="B7" s="5" t="s">
        <v>3</v>
      </c>
      <c r="C7" s="45">
        <v>269</v>
      </c>
      <c r="D7" s="61">
        <v>86</v>
      </c>
      <c r="E7" s="45">
        <f t="shared" si="0"/>
        <v>183</v>
      </c>
      <c r="F7" s="61">
        <v>131</v>
      </c>
      <c r="G7" s="45">
        <f t="shared" si="1"/>
        <v>138</v>
      </c>
      <c r="H7" s="7"/>
    </row>
    <row r="8" spans="2:11" x14ac:dyDescent="0.2">
      <c r="B8" s="5" t="s">
        <v>4</v>
      </c>
      <c r="C8" s="45">
        <v>145</v>
      </c>
      <c r="D8" s="61">
        <v>144</v>
      </c>
      <c r="E8" s="45">
        <f t="shared" si="0"/>
        <v>1</v>
      </c>
      <c r="F8" s="61">
        <v>212</v>
      </c>
      <c r="G8" s="45">
        <f t="shared" si="1"/>
        <v>-67</v>
      </c>
      <c r="H8" s="7"/>
    </row>
    <row r="9" spans="2:11" x14ac:dyDescent="0.2">
      <c r="B9" s="5" t="s">
        <v>5</v>
      </c>
      <c r="C9" s="45">
        <v>53</v>
      </c>
      <c r="D9" s="61">
        <v>52</v>
      </c>
      <c r="E9" s="45">
        <f t="shared" si="0"/>
        <v>1</v>
      </c>
      <c r="F9" s="61">
        <v>89</v>
      </c>
      <c r="G9" s="45">
        <f t="shared" si="1"/>
        <v>-36</v>
      </c>
      <c r="H9" s="7"/>
    </row>
    <row r="10" spans="2:11" x14ac:dyDescent="0.2">
      <c r="B10" s="9" t="s">
        <v>6</v>
      </c>
      <c r="C10" s="45">
        <v>70</v>
      </c>
      <c r="D10" s="61">
        <v>61</v>
      </c>
      <c r="E10" s="45">
        <f t="shared" si="0"/>
        <v>9</v>
      </c>
      <c r="F10" s="61">
        <v>10</v>
      </c>
      <c r="G10" s="45">
        <f t="shared" si="1"/>
        <v>60</v>
      </c>
      <c r="H10" s="7"/>
    </row>
    <row r="11" spans="2:11" x14ac:dyDescent="0.2">
      <c r="B11" s="5" t="s">
        <v>7</v>
      </c>
      <c r="C11" s="45">
        <v>11</v>
      </c>
      <c r="D11" s="61">
        <v>14</v>
      </c>
      <c r="E11" s="45">
        <f t="shared" si="0"/>
        <v>-3</v>
      </c>
      <c r="F11" s="61">
        <v>67</v>
      </c>
      <c r="G11" s="45">
        <f t="shared" si="1"/>
        <v>-56</v>
      </c>
      <c r="H11" s="7"/>
    </row>
    <row r="12" spans="2:11" x14ac:dyDescent="0.2">
      <c r="B12" s="5" t="s">
        <v>8</v>
      </c>
      <c r="C12" s="45">
        <v>71</v>
      </c>
      <c r="D12" s="61">
        <v>66</v>
      </c>
      <c r="E12" s="45">
        <f t="shared" si="0"/>
        <v>5</v>
      </c>
      <c r="F12" s="61">
        <v>71</v>
      </c>
      <c r="G12" s="45">
        <f t="shared" si="1"/>
        <v>0</v>
      </c>
      <c r="H12" s="7"/>
    </row>
    <row r="13" spans="2:11" x14ac:dyDescent="0.2">
      <c r="B13" s="5" t="s">
        <v>9</v>
      </c>
      <c r="C13" s="45">
        <v>24</v>
      </c>
      <c r="D13" s="61">
        <v>32</v>
      </c>
      <c r="E13" s="45">
        <f t="shared" si="0"/>
        <v>-8</v>
      </c>
      <c r="F13" s="61">
        <v>29</v>
      </c>
      <c r="G13" s="45">
        <f t="shared" si="1"/>
        <v>-5</v>
      </c>
      <c r="H13" s="7"/>
    </row>
    <row r="14" spans="2:11" x14ac:dyDescent="0.2">
      <c r="B14" s="5" t="s">
        <v>10</v>
      </c>
      <c r="C14" s="45">
        <v>45</v>
      </c>
      <c r="D14" s="61">
        <v>32</v>
      </c>
      <c r="E14" s="45">
        <f t="shared" si="0"/>
        <v>13</v>
      </c>
      <c r="F14" s="61">
        <v>31</v>
      </c>
      <c r="G14" s="45">
        <f t="shared" si="1"/>
        <v>14</v>
      </c>
      <c r="H14" s="7"/>
    </row>
    <row r="15" spans="2:11" x14ac:dyDescent="0.2">
      <c r="B15" s="5" t="s">
        <v>11</v>
      </c>
      <c r="C15" s="45">
        <v>337</v>
      </c>
      <c r="D15" s="61">
        <v>358</v>
      </c>
      <c r="E15" s="45">
        <f t="shared" si="0"/>
        <v>-21</v>
      </c>
      <c r="F15" s="61">
        <v>188</v>
      </c>
      <c r="G15" s="45">
        <f t="shared" si="1"/>
        <v>149</v>
      </c>
      <c r="H15" s="7"/>
    </row>
    <row r="16" spans="2:11" x14ac:dyDescent="0.2">
      <c r="B16" s="5" t="s">
        <v>12</v>
      </c>
      <c r="C16" s="45">
        <v>85</v>
      </c>
      <c r="D16" s="61">
        <v>78</v>
      </c>
      <c r="E16" s="45">
        <f t="shared" si="0"/>
        <v>7</v>
      </c>
      <c r="F16" s="61">
        <v>71</v>
      </c>
      <c r="G16" s="45">
        <f t="shared" si="1"/>
        <v>14</v>
      </c>
      <c r="H16" s="7"/>
    </row>
    <row r="17" spans="2:8" x14ac:dyDescent="0.2">
      <c r="B17" s="5" t="s">
        <v>13</v>
      </c>
      <c r="C17" s="45">
        <v>1</v>
      </c>
      <c r="D17" s="61">
        <v>6</v>
      </c>
      <c r="E17" s="45">
        <f t="shared" si="0"/>
        <v>-5</v>
      </c>
      <c r="F17" s="61">
        <v>5</v>
      </c>
      <c r="G17" s="45">
        <f t="shared" si="1"/>
        <v>-4</v>
      </c>
      <c r="H17" s="7"/>
    </row>
    <row r="18" spans="2:8" x14ac:dyDescent="0.2">
      <c r="B18" s="5" t="s">
        <v>14</v>
      </c>
      <c r="C18" s="45">
        <v>210</v>
      </c>
      <c r="D18" s="61">
        <v>171</v>
      </c>
      <c r="E18" s="45">
        <f t="shared" si="0"/>
        <v>39</v>
      </c>
      <c r="F18" s="61">
        <v>134</v>
      </c>
      <c r="G18" s="45">
        <f t="shared" si="1"/>
        <v>76</v>
      </c>
      <c r="H18" s="7"/>
    </row>
    <row r="19" spans="2:8" x14ac:dyDescent="0.2">
      <c r="B19" s="5" t="s">
        <v>15</v>
      </c>
      <c r="C19" s="45">
        <v>126</v>
      </c>
      <c r="D19" s="61">
        <v>117</v>
      </c>
      <c r="E19" s="45">
        <f t="shared" si="0"/>
        <v>9</v>
      </c>
      <c r="F19" s="61">
        <v>132</v>
      </c>
      <c r="G19" s="45">
        <f t="shared" si="1"/>
        <v>-6</v>
      </c>
      <c r="H19" s="7"/>
    </row>
    <row r="20" spans="2:8" x14ac:dyDescent="0.2">
      <c r="B20" s="5" t="s">
        <v>16</v>
      </c>
      <c r="C20" s="45">
        <v>66</v>
      </c>
      <c r="D20" s="61">
        <v>110</v>
      </c>
      <c r="E20" s="45">
        <f t="shared" si="0"/>
        <v>-44</v>
      </c>
      <c r="F20" s="61">
        <v>74</v>
      </c>
      <c r="G20" s="45">
        <f t="shared" si="1"/>
        <v>-8</v>
      </c>
      <c r="H20" s="7"/>
    </row>
    <row r="21" spans="2:8" x14ac:dyDescent="0.2">
      <c r="B21" s="5" t="s">
        <v>17</v>
      </c>
      <c r="C21" s="45">
        <v>25</v>
      </c>
      <c r="D21" s="61">
        <v>21</v>
      </c>
      <c r="E21" s="45">
        <f t="shared" si="0"/>
        <v>4</v>
      </c>
      <c r="F21" s="61">
        <v>65</v>
      </c>
      <c r="G21" s="45">
        <f t="shared" si="1"/>
        <v>-40</v>
      </c>
      <c r="H21" s="7"/>
    </row>
    <row r="22" spans="2:8" x14ac:dyDescent="0.2">
      <c r="B22" s="5" t="s">
        <v>18</v>
      </c>
      <c r="C22" s="45">
        <v>56</v>
      </c>
      <c r="D22" s="61">
        <v>77</v>
      </c>
      <c r="E22" s="45">
        <f t="shared" si="0"/>
        <v>-21</v>
      </c>
      <c r="F22" s="61">
        <v>117</v>
      </c>
      <c r="G22" s="45">
        <f t="shared" si="1"/>
        <v>-61</v>
      </c>
      <c r="H22" s="7"/>
    </row>
    <row r="23" spans="2:8" x14ac:dyDescent="0.2">
      <c r="B23" s="5" t="s">
        <v>19</v>
      </c>
      <c r="C23" s="45">
        <v>41</v>
      </c>
      <c r="D23" s="61">
        <v>43</v>
      </c>
      <c r="E23" s="45">
        <f t="shared" si="0"/>
        <v>-2</v>
      </c>
      <c r="F23" s="61">
        <v>49</v>
      </c>
      <c r="G23" s="45">
        <f t="shared" si="1"/>
        <v>-8</v>
      </c>
      <c r="H23" s="7"/>
    </row>
    <row r="24" spans="2:8" x14ac:dyDescent="0.2">
      <c r="B24" s="5" t="s">
        <v>20</v>
      </c>
      <c r="C24" s="45">
        <v>87</v>
      </c>
      <c r="D24" s="61">
        <v>81</v>
      </c>
      <c r="E24" s="45">
        <f t="shared" si="0"/>
        <v>6</v>
      </c>
      <c r="F24" s="61">
        <v>39</v>
      </c>
      <c r="G24" s="45">
        <f t="shared" si="1"/>
        <v>48</v>
      </c>
      <c r="H24" s="7"/>
    </row>
    <row r="25" spans="2:8" x14ac:dyDescent="0.2">
      <c r="B25" s="5" t="s">
        <v>21</v>
      </c>
      <c r="C25" s="45">
        <v>25</v>
      </c>
      <c r="D25" s="61">
        <v>24</v>
      </c>
      <c r="E25" s="45">
        <f t="shared" si="0"/>
        <v>1</v>
      </c>
      <c r="F25" s="61">
        <v>32</v>
      </c>
      <c r="G25" s="45">
        <f t="shared" si="1"/>
        <v>-7</v>
      </c>
      <c r="H25" s="7"/>
    </row>
    <row r="26" spans="2:8" x14ac:dyDescent="0.2">
      <c r="B26" s="5" t="s">
        <v>22</v>
      </c>
      <c r="C26" s="45">
        <v>33</v>
      </c>
      <c r="D26" s="61">
        <v>47</v>
      </c>
      <c r="E26" s="45">
        <f t="shared" si="0"/>
        <v>-14</v>
      </c>
      <c r="F26" s="61">
        <v>24</v>
      </c>
      <c r="G26" s="45">
        <f t="shared" si="1"/>
        <v>9</v>
      </c>
      <c r="H26" s="7"/>
    </row>
    <row r="27" spans="2:8" x14ac:dyDescent="0.2">
      <c r="B27" s="5" t="s">
        <v>23</v>
      </c>
      <c r="C27" s="45">
        <v>515</v>
      </c>
      <c r="D27" s="61">
        <v>415</v>
      </c>
      <c r="E27" s="45">
        <f t="shared" si="0"/>
        <v>100</v>
      </c>
      <c r="F27" s="61">
        <v>307</v>
      </c>
      <c r="G27" s="45">
        <f t="shared" si="1"/>
        <v>208</v>
      </c>
      <c r="H27" s="7"/>
    </row>
    <row r="28" spans="2:8" x14ac:dyDescent="0.2">
      <c r="B28" s="5" t="s">
        <v>24</v>
      </c>
      <c r="C28" s="45">
        <v>73</v>
      </c>
      <c r="D28" s="61">
        <v>77</v>
      </c>
      <c r="E28" s="45">
        <f t="shared" si="0"/>
        <v>-4</v>
      </c>
      <c r="F28" s="61">
        <v>51</v>
      </c>
      <c r="G28" s="45">
        <f t="shared" si="1"/>
        <v>22</v>
      </c>
      <c r="H28" s="7"/>
    </row>
    <row r="29" spans="2:8" ht="15" x14ac:dyDescent="0.25">
      <c r="B29" s="58" t="s">
        <v>25</v>
      </c>
      <c r="C29" s="77">
        <f>SUM(C4:C28)</f>
        <v>2524</v>
      </c>
      <c r="D29" s="63">
        <f>SUM(D4:D28)</f>
        <v>2284</v>
      </c>
      <c r="E29" s="77">
        <f>SUM(E4:E28)</f>
        <v>240</v>
      </c>
      <c r="F29" s="63">
        <f>SUM(F4:F28)</f>
        <v>2117</v>
      </c>
      <c r="G29" s="77">
        <f>SUM(G4:G28)</f>
        <v>407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123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86</v>
      </c>
      <c r="C3" s="55" t="str">
        <f>T('10oferty s.'!B3)</f>
        <v>powiaty</v>
      </c>
      <c r="D3" s="55" t="str">
        <f>T('10oferty s.'!C3)</f>
        <v>liczba ofert w XI '23 r.</v>
      </c>
      <c r="E3" s="55" t="str">
        <f>T('10oferty s.'!D3)</f>
        <v>liczba ofert w X '23 r.</v>
      </c>
      <c r="F3" s="55" t="str">
        <f>T('10oferty s.'!E3)</f>
        <v>wzrost/spadek do poprzedniego  miesiąca</v>
      </c>
      <c r="G3" s="55" t="str">
        <f>T('10oferty s.'!F3)</f>
        <v>liczba ofert w XI '22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7</v>
      </c>
      <c r="C4" s="5" t="str">
        <f>INDEX('11of st. k.'!B4:G29,MATCH(1,B4:B29,0),1)</f>
        <v>przemyski</v>
      </c>
      <c r="D4" s="25">
        <f>INDEX('11of st. k.'!B4:G29,MATCH(1,B4:B29,0),2)</f>
        <v>1</v>
      </c>
      <c r="E4" s="61">
        <f>INDEX('11of st. k.'!B4:G29,MATCH(1,B4:B29,0),3)</f>
        <v>6</v>
      </c>
      <c r="F4" s="6">
        <f>INDEX('11of st. k.'!B4:G29,MATCH(1,B4:B29,0),4)</f>
        <v>-5</v>
      </c>
      <c r="G4" s="61">
        <f>INDEX('11of st. k.'!B4:G29,MATCH(1,B4:B29,0),5)</f>
        <v>5</v>
      </c>
      <c r="H4" s="6">
        <f>INDEX('11of st. k.'!B4:G29,MATCH(1,B4:B29,0),6)</f>
        <v>-4</v>
      </c>
    </row>
    <row r="5" spans="2:8" x14ac:dyDescent="0.2">
      <c r="B5" s="6">
        <f>RANK('11of st. k.'!C5,'11of st. k.'!$C$4:'11of st. k.'!$C$29,1)+COUNTIF('11of st. k.'!$C$4:'11of st. k.'!C5,'11of st. k.'!C5)-1</f>
        <v>2</v>
      </c>
      <c r="C5" s="5" t="str">
        <f>INDEX('11of st. k.'!B4:G29,MATCH(2,B4:B29,0),1)</f>
        <v>brzozowski</v>
      </c>
      <c r="D5" s="6">
        <f>INDEX('11of st. k.'!B4:G29,MATCH(2,B4:B29,0),2)</f>
        <v>3</v>
      </c>
      <c r="E5" s="61">
        <f>INDEX('11of st. k.'!B4:G29,MATCH(2,B4:B29,0),3)</f>
        <v>5</v>
      </c>
      <c r="F5" s="6">
        <f>INDEX('11of st. k.'!B4:G29,MATCH(2,B4:B29,0),4)</f>
        <v>-2</v>
      </c>
      <c r="G5" s="61">
        <f>INDEX('11of st. k.'!B4:G29,MATCH(2,B4:B29,0),5)</f>
        <v>4</v>
      </c>
      <c r="H5" s="6">
        <f>INDEX('11of st. k.'!B4:G29,MATCH(2,B4:B29,0),6)</f>
        <v>-1</v>
      </c>
    </row>
    <row r="6" spans="2:8" x14ac:dyDescent="0.2">
      <c r="B6" s="6">
        <f>RANK('11of st. k.'!C6,'11of st. k.'!$C$4:'11of st. k.'!$C$29,1)+COUNTIF('11of st. k.'!$C$4:'11of st. k.'!C6,'11of st. k.'!C6)-1</f>
        <v>20</v>
      </c>
      <c r="C6" s="5" t="str">
        <f>INDEX('11of st. k.'!B4:G29,MATCH(3,B4:B29,0),1)</f>
        <v>leski</v>
      </c>
      <c r="D6" s="6">
        <f>INDEX('11of st. k.'!B4:G29,MATCH(3,B4:B29,0),2)</f>
        <v>11</v>
      </c>
      <c r="E6" s="61">
        <f>INDEX('11of st. k.'!B4:G29,MATCH(3,B4:B29,0),3)</f>
        <v>14</v>
      </c>
      <c r="F6" s="6">
        <f>INDEX('11of st. k.'!B4:G29,MATCH(3,B4:B29,0),4)</f>
        <v>-3</v>
      </c>
      <c r="G6" s="61">
        <f>INDEX('11of st. k.'!B4:G29,MATCH(3,B4:B29,0),5)</f>
        <v>67</v>
      </c>
      <c r="H6" s="6">
        <f>INDEX('11of st. k.'!B4:G29,MATCH(3,B4:B29,0),6)</f>
        <v>-56</v>
      </c>
    </row>
    <row r="7" spans="2:8" x14ac:dyDescent="0.2">
      <c r="B7" s="6">
        <f>RANK('11of st. k.'!C7,'11of st. k.'!$C$4:'11of st. k.'!$C$29,1)+COUNTIF('11of st. k.'!$C$4:'11of st. k.'!C7,'11of st. k.'!C7)-1</f>
        <v>23</v>
      </c>
      <c r="C7" s="5" t="str">
        <f>INDEX('11of st. k.'!B4:G29,MATCH(4,B4:B29,0),1)</f>
        <v>lubaczowski</v>
      </c>
      <c r="D7" s="6">
        <f>INDEX('11of st. k.'!B4:G29,MATCH(4,B4:B29,0),2)</f>
        <v>24</v>
      </c>
      <c r="E7" s="61">
        <f>INDEX('11of st. k.'!B4:G29,MATCH(4,B4:B29,0),3)</f>
        <v>32</v>
      </c>
      <c r="F7" s="6">
        <f>INDEX('11of st. k.'!B4:G29,MATCH(4,B4:B29,0),4)</f>
        <v>-8</v>
      </c>
      <c r="G7" s="61">
        <f>INDEX('11of st. k.'!B4:G29,MATCH(4,B4:B29,0),5)</f>
        <v>29</v>
      </c>
      <c r="H7" s="6">
        <f>INDEX('11of st. k.'!B4:G29,MATCH(4,B4:B29,0),6)</f>
        <v>-5</v>
      </c>
    </row>
    <row r="8" spans="2:8" x14ac:dyDescent="0.2">
      <c r="B8" s="6">
        <f>RANK('11of st. k.'!C8,'11of st. k.'!$C$4:'11of st. k.'!$C$29,1)+COUNTIF('11of st. k.'!$C$4:'11of st. k.'!C8,'11of st. k.'!C8)-1</f>
        <v>21</v>
      </c>
      <c r="C8" s="5" t="str">
        <f>INDEX('11of st. k.'!B4:G29,MATCH(5,B4:B29,0),1)</f>
        <v>sanocki</v>
      </c>
      <c r="D8" s="6">
        <f>INDEX('11of st. k.'!B4:G29,MATCH(5,B4:B29,0),2)</f>
        <v>25</v>
      </c>
      <c r="E8" s="61">
        <f>INDEX('11of st. k.'!B4:G29,MATCH(5,B4:B29,0),3)</f>
        <v>21</v>
      </c>
      <c r="F8" s="6">
        <f>INDEX('11of st. k.'!B4:G29,MATCH(5,B4:B29,0),4)</f>
        <v>4</v>
      </c>
      <c r="G8" s="61">
        <f>INDEX('11of st. k.'!B4:G29,MATCH(5,B4:B29,0),5)</f>
        <v>65</v>
      </c>
      <c r="H8" s="6">
        <f>INDEX('11of st. k.'!B4:G29,MATCH(5,B4:B29,0),6)</f>
        <v>-40</v>
      </c>
    </row>
    <row r="9" spans="2:8" x14ac:dyDescent="0.2">
      <c r="B9" s="6">
        <f>RANK('11of st. k.'!C9,'11of st. k.'!$C$4:'11of st. k.'!$C$29,1)+COUNTIF('11of st. k.'!$C$4:'11of st. k.'!C9,'11of st. k.'!C9)-1</f>
        <v>11</v>
      </c>
      <c r="C9" s="5" t="str">
        <f>INDEX('11of st. k.'!B4:G29,MATCH(6,B4:B29,0),1)</f>
        <v>Krosno</v>
      </c>
      <c r="D9" s="6">
        <f>INDEX('11of st. k.'!B4:G29,MATCH(6,B4:B29,0),2)</f>
        <v>25</v>
      </c>
      <c r="E9" s="61">
        <f>INDEX('11of st. k.'!B4:G29,MATCH(6,B4:B29,0),3)</f>
        <v>24</v>
      </c>
      <c r="F9" s="6">
        <f>INDEX('11of st. k.'!B4:G29,MATCH(6,B4:B29,0),4)</f>
        <v>1</v>
      </c>
      <c r="G9" s="61">
        <f>INDEX('11of st. k.'!B4:G29,MATCH(6,B4:B29,0),5)</f>
        <v>32</v>
      </c>
      <c r="H9" s="6">
        <f>INDEX('11of st. k.'!B4:G29,MATCH(6,B4:B29,0),6)</f>
        <v>-7</v>
      </c>
    </row>
    <row r="10" spans="2:8" x14ac:dyDescent="0.2">
      <c r="B10" s="6">
        <f>RANK('11of st. k.'!C10,'11of st. k.'!$C$4:'11of st. k.'!$C$29,1)+COUNTIF('11of st. k.'!$C$4:'11of st. k.'!C10,'11of st. k.'!C10)-1</f>
        <v>14</v>
      </c>
      <c r="C10" s="9" t="str">
        <f>INDEX('11of st. k.'!B4:G29,MATCH(7,B4:B29,0),1)</f>
        <v>bieszczadzki</v>
      </c>
      <c r="D10" s="6">
        <f>INDEX('11of st. k.'!B4:G29,MATCH(7,B4:B29,0),2)</f>
        <v>26</v>
      </c>
      <c r="E10" s="61">
        <f>INDEX('11of st. k.'!B4:G29,MATCH(7,B4:B29,0),3)</f>
        <v>36</v>
      </c>
      <c r="F10" s="6">
        <f>INDEX('11of st. k.'!B4:G29,MATCH(7,B4:B29,0),4)</f>
        <v>-10</v>
      </c>
      <c r="G10" s="61">
        <f>INDEX('11of st. k.'!B4:G29,MATCH(7,B4:B29,0),5)</f>
        <v>19</v>
      </c>
      <c r="H10" s="6">
        <f>INDEX('11of st. k.'!B4:G29,MATCH(7,B4:B29,0),6)</f>
        <v>7</v>
      </c>
    </row>
    <row r="11" spans="2:8" x14ac:dyDescent="0.2">
      <c r="B11" s="6">
        <f>RANK('11of st. k.'!C11,'11of st. k.'!$C$4:'11of st. k.'!$C$29,1)+COUNTIF('11of st. k.'!$C$4:'11of st. k.'!C11,'11of st. k.'!C11)-1</f>
        <v>3</v>
      </c>
      <c r="C11" s="5" t="str">
        <f>INDEX('11of st. k.'!B4:G29,MATCH(8,B4:B29,0),1)</f>
        <v>Przemyśl</v>
      </c>
      <c r="D11" s="6">
        <f>INDEX('11of st. k.'!B4:G29,MATCH(8,B4:B29,0),2)</f>
        <v>33</v>
      </c>
      <c r="E11" s="61">
        <f>INDEX('11of st. k.'!B4:G29,MATCH(8,B4:B29,0),3)</f>
        <v>47</v>
      </c>
      <c r="F11" s="6">
        <f>INDEX('11of st. k.'!B4:G29,MATCH(8,B4:B29,0),4)</f>
        <v>-14</v>
      </c>
      <c r="G11" s="61">
        <f>INDEX('11of st. k.'!B4:G29,MATCH(8,B4:B29,0),5)</f>
        <v>24</v>
      </c>
      <c r="H11" s="6">
        <f>INDEX('11of st. k.'!B4:G29,MATCH(8,B4:B29,0),6)</f>
        <v>9</v>
      </c>
    </row>
    <row r="12" spans="2:8" x14ac:dyDescent="0.2">
      <c r="B12" s="6">
        <f>RANK('11of st. k.'!C12,'11of st. k.'!$C$4:'11of st. k.'!$C$29,1)+COUNTIF('11of st. k.'!$C$4:'11of st. k.'!C12,'11of st. k.'!C12)-1</f>
        <v>15</v>
      </c>
      <c r="C12" s="5" t="str">
        <f>INDEX('11of st. k.'!B4:G29,MATCH(9,B4:B29,0),1)</f>
        <v>strzyżowski</v>
      </c>
      <c r="D12" s="6">
        <f>INDEX('11of st. k.'!B4:G29,MATCH(9,B4:B29,0),2)</f>
        <v>41</v>
      </c>
      <c r="E12" s="61">
        <f>INDEX('11of st. k.'!B4:G29,MATCH(9,B4:B29,0),3)</f>
        <v>43</v>
      </c>
      <c r="F12" s="6">
        <f>INDEX('11of st. k.'!B4:G29,MATCH(9,B4:B29,0),4)</f>
        <v>-2</v>
      </c>
      <c r="G12" s="61">
        <f>INDEX('11of st. k.'!B4:G29,MATCH(9,B4:B29,0),5)</f>
        <v>49</v>
      </c>
      <c r="H12" s="6">
        <f>INDEX('11of st. k.'!B4:G29,MATCH(9,B4:B29,0),6)</f>
        <v>-8</v>
      </c>
    </row>
    <row r="13" spans="2:8" x14ac:dyDescent="0.2">
      <c r="B13" s="6">
        <f>RANK('11of st. k.'!C13,'11of st. k.'!$C$4:'11of st. k.'!$C$29,1)+COUNTIF('11of st. k.'!$C$4:'11of st. k.'!C13,'11of st. k.'!C13)-1</f>
        <v>4</v>
      </c>
      <c r="C13" s="5" t="str">
        <f>INDEX('11of st. k.'!B4:G29,MATCH(10,B4:B29,0),1)</f>
        <v>łańcucki</v>
      </c>
      <c r="D13" s="6">
        <f>INDEX('11of st. k.'!B4:G29,MATCH(10,B4:B29,0),2)</f>
        <v>45</v>
      </c>
      <c r="E13" s="61">
        <f>INDEX('11of st. k.'!B4:G29,MATCH(10,B4:B29,0),3)</f>
        <v>32</v>
      </c>
      <c r="F13" s="6">
        <f>INDEX('11of st. k.'!B4:G29,MATCH(10,B4:B29,0),4)</f>
        <v>13</v>
      </c>
      <c r="G13" s="61">
        <f>INDEX('11of st. k.'!B4:G29,MATCH(10,B4:B29,0),5)</f>
        <v>31</v>
      </c>
      <c r="H13" s="6">
        <f>INDEX('11of st. k.'!B4:G29,MATCH(10,B4:B29,0),6)</f>
        <v>14</v>
      </c>
    </row>
    <row r="14" spans="2:8" x14ac:dyDescent="0.2">
      <c r="B14" s="6">
        <f>RANK('11of st. k.'!C14,'11of st. k.'!$C$4:'11of st. k.'!$C$29,1)+COUNTIF('11of st. k.'!$C$4:'11of st. k.'!C14,'11of st. k.'!C14)-1</f>
        <v>10</v>
      </c>
      <c r="C14" s="5" t="str">
        <f>INDEX('11of st. k.'!B4:G29,MATCH(11,B4:B29,0),1)</f>
        <v>kolbuszowski</v>
      </c>
      <c r="D14" s="6">
        <f>INDEX('11of st. k.'!B4:G29,MATCH(11,B4:B29,0),2)</f>
        <v>53</v>
      </c>
      <c r="E14" s="61">
        <f>INDEX('11of st. k.'!B4:G29,MATCH(11,B4:B29,0),3)</f>
        <v>52</v>
      </c>
      <c r="F14" s="6">
        <f>INDEX('11of st. k.'!B4:G29,MATCH(11,B4:B29,0),4)</f>
        <v>1</v>
      </c>
      <c r="G14" s="61">
        <f>INDEX('11of st. k.'!B4:G29,MATCH(11,B4:B29,0),5)</f>
        <v>89</v>
      </c>
      <c r="H14" s="6">
        <f>INDEX('11of st. k.'!B4:G29,MATCH(11,B4:B29,0),6)</f>
        <v>-36</v>
      </c>
    </row>
    <row r="15" spans="2:8" x14ac:dyDescent="0.2">
      <c r="B15" s="6">
        <f>RANK('11of st. k.'!C15,'11of st. k.'!$C$4:'11of st. k.'!$C$29,1)+COUNTIF('11of st. k.'!$C$4:'11of st. k.'!C15,'11of st. k.'!C15)-1</f>
        <v>24</v>
      </c>
      <c r="C15" s="5" t="str">
        <f>INDEX('11of st. k.'!B4:G29,MATCH(12,B4:B29,0),1)</f>
        <v>stalowowolski</v>
      </c>
      <c r="D15" s="6">
        <f>INDEX('11of st. k.'!B4:G29,MATCH(12,B4:B29,0),2)</f>
        <v>56</v>
      </c>
      <c r="E15" s="61">
        <f>INDEX('11of st. k.'!B4:G29,MATCH(12,B4:B29,0),3)</f>
        <v>77</v>
      </c>
      <c r="F15" s="6">
        <f>INDEX('11of st. k.'!B4:G29,MATCH(12,B4:B29,0),4)</f>
        <v>-21</v>
      </c>
      <c r="G15" s="61">
        <f>INDEX('11of st. k.'!B4:G29,MATCH(12,B4:B29,0),5)</f>
        <v>117</v>
      </c>
      <c r="H15" s="6">
        <f>INDEX('11of st. k.'!B4:G29,MATCH(12,B4:B29,0),6)</f>
        <v>-61</v>
      </c>
    </row>
    <row r="16" spans="2:8" x14ac:dyDescent="0.2">
      <c r="B16" s="6">
        <f>RANK('11of st. k.'!C16,'11of st. k.'!$C$4:'11of st. k.'!$C$29,1)+COUNTIF('11of st. k.'!$C$4:'11of st. k.'!C16,'11of st. k.'!C16)-1</f>
        <v>17</v>
      </c>
      <c r="C16" s="5" t="str">
        <f>INDEX('11of st. k.'!B4:G29,MATCH(13,B4:B29,0),1)</f>
        <v>rzeszowski</v>
      </c>
      <c r="D16" s="6">
        <f>INDEX('11of st. k.'!B4:G29,MATCH(13,B4:B29,0),2)</f>
        <v>66</v>
      </c>
      <c r="E16" s="61">
        <f>INDEX('11of st. k.'!B4:G29,MATCH(13,B4:B29,0),3)</f>
        <v>110</v>
      </c>
      <c r="F16" s="6">
        <f>INDEX('11of st. k.'!B4:G29,MATCH(13,B4:B29,0),4)</f>
        <v>-44</v>
      </c>
      <c r="G16" s="61">
        <f>INDEX('11of st. k.'!B4:G29,MATCH(13,B4:B29,0),5)</f>
        <v>74</v>
      </c>
      <c r="H16" s="6">
        <f>INDEX('11of st. k.'!B4:G29,MATCH(13,B4:B29,0),6)</f>
        <v>-8</v>
      </c>
    </row>
    <row r="17" spans="2:8" x14ac:dyDescent="0.2">
      <c r="B17" s="6">
        <f>RANK('11of st. k.'!C17,'11of st. k.'!$C$4:'11of st. k.'!$C$29,1)+COUNTIF('11of st. k.'!$C$4:'11of st. k.'!C17,'11of st. k.'!C17)-1</f>
        <v>1</v>
      </c>
      <c r="C17" s="5" t="str">
        <f>INDEX('11of st. k.'!B4:G29,MATCH(14,B4:B29,0),1)</f>
        <v>krośnieński</v>
      </c>
      <c r="D17" s="6">
        <f>INDEX('11of st. k.'!B4:G29,MATCH(14,B4:B29,0),2)</f>
        <v>70</v>
      </c>
      <c r="E17" s="61">
        <f>INDEX('11of st. k.'!B4:G29,MATCH(14,B4:B29,0),3)</f>
        <v>61</v>
      </c>
      <c r="F17" s="6">
        <f>INDEX('11of st. k.'!B4:G29,MATCH(14,B4:B29,0),4)</f>
        <v>9</v>
      </c>
      <c r="G17" s="61">
        <f>INDEX('11of st. k.'!B4:G29,MATCH(14,B4:B29,0),5)</f>
        <v>10</v>
      </c>
      <c r="H17" s="6">
        <f>INDEX('11of st. k.'!B4:G29,MATCH(14,B4:B29,0),6)</f>
        <v>60</v>
      </c>
    </row>
    <row r="18" spans="2:8" x14ac:dyDescent="0.2">
      <c r="B18" s="6">
        <f>RANK('11of st. k.'!C18,'11of st. k.'!$C$4:'11of st. k.'!$C$29,1)+COUNTIF('11of st. k.'!$C$4:'11of st. k.'!C18,'11of st. k.'!C18)-1</f>
        <v>22</v>
      </c>
      <c r="C18" s="5" t="str">
        <f>INDEX('11of st. k.'!B4:G29,MATCH(15,B4:B29,0),1)</f>
        <v>leżajski</v>
      </c>
      <c r="D18" s="6">
        <f>INDEX('11of st. k.'!B4:G29,MATCH(15,B4:B29,0),2)</f>
        <v>71</v>
      </c>
      <c r="E18" s="61">
        <f>INDEX('11of st. k.'!B4:G29,MATCH(15,B4:B29,0),3)</f>
        <v>66</v>
      </c>
      <c r="F18" s="6">
        <f>INDEX('11of st. k.'!B4:G29,MATCH(15,B4:B29,0),4)</f>
        <v>5</v>
      </c>
      <c r="G18" s="61">
        <f>INDEX('11of st. k.'!B4:G29,MATCH(15,B4:B29,0),5)</f>
        <v>71</v>
      </c>
      <c r="H18" s="6">
        <f>INDEX('11of st. k.'!B4:G29,MATCH(15,B4:B29,0),6)</f>
        <v>0</v>
      </c>
    </row>
    <row r="19" spans="2:8" x14ac:dyDescent="0.2">
      <c r="B19" s="6">
        <f>RANK('11of st. k.'!C19,'11of st. k.'!$C$4:'11of st. k.'!$C$29,1)+COUNTIF('11of st. k.'!$C$4:'11of st. k.'!C19,'11of st. k.'!C19)-1</f>
        <v>19</v>
      </c>
      <c r="C19" s="5" t="str">
        <f>INDEX('11of st. k.'!B4:G29,MATCH(16,B4:B29,0),1)</f>
        <v>Tarnobrzeg</v>
      </c>
      <c r="D19" s="6">
        <f>INDEX('11of st. k.'!B4:G29,MATCH(16,B4:B29,0),2)</f>
        <v>73</v>
      </c>
      <c r="E19" s="61">
        <f>INDEX('11of st. k.'!B4:G29,MATCH(16,B4:B29,0),3)</f>
        <v>77</v>
      </c>
      <c r="F19" s="6">
        <f>INDEX('11of st. k.'!B4:G29,MATCH(16,B4:B29,0),4)</f>
        <v>-4</v>
      </c>
      <c r="G19" s="61">
        <f>INDEX('11of st. k.'!B4:G29,MATCH(16,B4:B29,0),5)</f>
        <v>51</v>
      </c>
      <c r="H19" s="6">
        <f>INDEX('11of st. k.'!B4:G29,MATCH(16,B4:B29,0),6)</f>
        <v>22</v>
      </c>
    </row>
    <row r="20" spans="2:8" x14ac:dyDescent="0.2">
      <c r="B20" s="6">
        <f>RANK('11of st. k.'!C20,'11of st. k.'!$C$4:'11of st. k.'!$C$29,1)+COUNTIF('11of st. k.'!$C$4:'11of st. k.'!C20,'11of st. k.'!C20)-1</f>
        <v>13</v>
      </c>
      <c r="C20" s="5" t="str">
        <f>INDEX('11of st. k.'!B4:G29,MATCH(17,B4:B29,0),1)</f>
        <v>niżański</v>
      </c>
      <c r="D20" s="6">
        <f>INDEX('11of st. k.'!B4:G29,MATCH(17,B4:B29,0),2)</f>
        <v>85</v>
      </c>
      <c r="E20" s="61">
        <f>INDEX('11of st. k.'!B4:G29,MATCH(17,B4:B29,0),3)</f>
        <v>78</v>
      </c>
      <c r="F20" s="6">
        <f>INDEX('11of st. k.'!B4:G29,MATCH(17,B4:B29,0),4)</f>
        <v>7</v>
      </c>
      <c r="G20" s="61">
        <f>INDEX('11of st. k.'!B4:G29,MATCH(17,B4:B29,0),5)</f>
        <v>71</v>
      </c>
      <c r="H20" s="6">
        <f>INDEX('11of st. k.'!B4:G29,MATCH(17,B4:B29,0),6)</f>
        <v>14</v>
      </c>
    </row>
    <row r="21" spans="2:8" x14ac:dyDescent="0.2">
      <c r="B21" s="6">
        <f>RANK('11of st. k.'!C21,'11of st. k.'!$C$4:'11of st. k.'!$C$29,1)+COUNTIF('11of st. k.'!$C$4:'11of st. k.'!C21,'11of st. k.'!C21)-1</f>
        <v>5</v>
      </c>
      <c r="C21" s="5" t="str">
        <f>INDEX('11of st. k.'!B4:G29,MATCH(18,B4:B29,0),1)</f>
        <v xml:space="preserve">tarnobrzeski </v>
      </c>
      <c r="D21" s="6">
        <f>INDEX('11of st. k.'!B4:G29,MATCH(18,B4:B29,0),2)</f>
        <v>87</v>
      </c>
      <c r="E21" s="61">
        <f>INDEX('11of st. k.'!B4:G29,MATCH(18,B4:B29,0),3)</f>
        <v>81</v>
      </c>
      <c r="F21" s="6">
        <f>INDEX('11of st. k.'!B4:G29,MATCH(18,B4:B29,0),4)</f>
        <v>6</v>
      </c>
      <c r="G21" s="61">
        <f>INDEX('11of st. k.'!B4:G29,MATCH(18,B4:B29,0),5)</f>
        <v>39</v>
      </c>
      <c r="H21" s="6">
        <f>INDEX('11of st. k.'!B4:G29,MATCH(18,B4:B29,0),6)</f>
        <v>48</v>
      </c>
    </row>
    <row r="22" spans="2:8" x14ac:dyDescent="0.2">
      <c r="B22" s="6">
        <f>RANK('11of st. k.'!C22,'11of st. k.'!$C$4:'11of st. k.'!$C$29,1)+COUNTIF('11of st. k.'!$C$4:'11of st. k.'!C22,'11of st. k.'!C22)-1</f>
        <v>12</v>
      </c>
      <c r="C22" s="5" t="str">
        <f>INDEX('11of st. k.'!B4:G29,MATCH(19,B4:B29,0),1)</f>
        <v>ropczycko-sędziszowski</v>
      </c>
      <c r="D22" s="6">
        <f>INDEX('11of st. k.'!B4:G29,MATCH(19,B4:B29,0),2)</f>
        <v>126</v>
      </c>
      <c r="E22" s="61">
        <f>INDEX('11of st. k.'!B4:G29,MATCH(19,B4:B29,0),3)</f>
        <v>117</v>
      </c>
      <c r="F22" s="6">
        <f>INDEX('11of st. k.'!B4:G29,MATCH(19,B4:B29,0),4)</f>
        <v>9</v>
      </c>
      <c r="G22" s="61">
        <f>INDEX('11of st. k.'!B4:G29,MATCH(19,B4:B29,0),5)</f>
        <v>132</v>
      </c>
      <c r="H22" s="6">
        <f>INDEX('11of st. k.'!B4:G29,MATCH(19,B4:B29,0),6)</f>
        <v>-6</v>
      </c>
    </row>
    <row r="23" spans="2:8" x14ac:dyDescent="0.2">
      <c r="B23" s="6">
        <f>RANK('11of st. k.'!C23,'11of st. k.'!$C$4:'11of st. k.'!$C$29,1)+COUNTIF('11of st. k.'!$C$4:'11of st. k.'!C23,'11of st. k.'!C23)-1</f>
        <v>9</v>
      </c>
      <c r="C23" s="5" t="str">
        <f>INDEX('11of st. k.'!B4:G29,MATCH(20,B4:B29,0),1)</f>
        <v>dębicki</v>
      </c>
      <c r="D23" s="6">
        <f>INDEX('11of st. k.'!B4:G29,MATCH(20,B4:B29,0),2)</f>
        <v>127</v>
      </c>
      <c r="E23" s="61">
        <f>INDEX('11of st. k.'!B4:G29,MATCH(20,B4:B29,0),3)</f>
        <v>131</v>
      </c>
      <c r="F23" s="6">
        <f>INDEX('11of st. k.'!B4:G29,MATCH(20,B4:B29,0),4)</f>
        <v>-4</v>
      </c>
      <c r="G23" s="61">
        <f>INDEX('11of st. k.'!B4:G29,MATCH(20,B4:B29,0),5)</f>
        <v>166</v>
      </c>
      <c r="H23" s="6">
        <f>INDEX('11of st. k.'!B4:G29,MATCH(20,B4:B29,0),6)</f>
        <v>-39</v>
      </c>
    </row>
    <row r="24" spans="2:8" x14ac:dyDescent="0.2">
      <c r="B24" s="6">
        <f>RANK('11of st. k.'!C24,'11of st. k.'!$C$4:'11of st. k.'!$C$29,1)+COUNTIF('11of st. k.'!$C$4:'11of st. k.'!C24,'11of st. k.'!C24)-1</f>
        <v>18</v>
      </c>
      <c r="C24" s="5" t="str">
        <f>INDEX('11of st. k.'!B4:G29,MATCH(21,B4:B29,0),1)</f>
        <v>jasielski</v>
      </c>
      <c r="D24" s="6">
        <f>INDEX('11of st. k.'!B4:G29,MATCH(21,B4:B29,0),2)</f>
        <v>145</v>
      </c>
      <c r="E24" s="61">
        <f>INDEX('11of st. k.'!B4:G29,MATCH(21,B4:B29,0),3)</f>
        <v>144</v>
      </c>
      <c r="F24" s="6">
        <f>INDEX('11of st. k.'!B4:G29,MATCH(21,B4:B29,0),4)</f>
        <v>1</v>
      </c>
      <c r="G24" s="61">
        <f>INDEX('11of st. k.'!B4:G29,MATCH(21,B4:B29,0),5)</f>
        <v>212</v>
      </c>
      <c r="H24" s="6">
        <f>INDEX('11of st. k.'!B4:G29,MATCH(21,B4:B29,0),6)</f>
        <v>-67</v>
      </c>
    </row>
    <row r="25" spans="2:8" x14ac:dyDescent="0.2">
      <c r="B25" s="6">
        <f>RANK('11of st. k.'!C25,'11of st. k.'!$C$4:'11of st. k.'!$C$29,1)+COUNTIF('11of st. k.'!$C$4:'11of st. k.'!C25,'11of st. k.'!C25)-1</f>
        <v>6</v>
      </c>
      <c r="C25" s="5" t="str">
        <f>INDEX('11of st. k.'!B4:G29,MATCH(22,B4:B29,0),1)</f>
        <v>przeworski</v>
      </c>
      <c r="D25" s="6">
        <f>INDEX('11of st. k.'!B4:G29,MATCH(22,B4:B29,0),2)</f>
        <v>210</v>
      </c>
      <c r="E25" s="61">
        <f>INDEX('11of st. k.'!B4:G29,MATCH(22,B4:B29,0),3)</f>
        <v>171</v>
      </c>
      <c r="F25" s="6">
        <f>INDEX('11of st. k.'!B4:G29,MATCH(22,B4:B29,0),4)</f>
        <v>39</v>
      </c>
      <c r="G25" s="61">
        <f>INDEX('11of st. k.'!B4:G29,MATCH(22,B4:B29,0),5)</f>
        <v>134</v>
      </c>
      <c r="H25" s="6">
        <f>INDEX('11of st. k.'!B4:G29,MATCH(22,B4:B29,0),6)</f>
        <v>76</v>
      </c>
    </row>
    <row r="26" spans="2:8" x14ac:dyDescent="0.2">
      <c r="B26" s="6">
        <f>RANK('11of st. k.'!C26,'11of st. k.'!$C$4:'11of st. k.'!$C$29,1)+COUNTIF('11of st. k.'!$C$4:'11of st. k.'!C26,'11of st. k.'!C26)-1</f>
        <v>8</v>
      </c>
      <c r="C26" s="5" t="str">
        <f>INDEX('11of st. k.'!B4:G29,MATCH(23,B4:B29,0),1)</f>
        <v>jarosławski</v>
      </c>
      <c r="D26" s="6">
        <f>INDEX('11of st. k.'!B4:G29,MATCH(23,B4:B29,0),2)</f>
        <v>269</v>
      </c>
      <c r="E26" s="61">
        <f>INDEX('11of st. k.'!B4:G29,MATCH(23,B4:B29,0),3)</f>
        <v>86</v>
      </c>
      <c r="F26" s="6">
        <f>INDEX('11of st. k.'!B4:G29,MATCH(23,B4:B29,0),4)</f>
        <v>183</v>
      </c>
      <c r="G26" s="61">
        <f>INDEX('11of st. k.'!B4:G29,MATCH(23,B4:B29,0),5)</f>
        <v>131</v>
      </c>
      <c r="H26" s="6">
        <f>INDEX('11of st. k.'!B4:G29,MATCH(23,B4:B29,0),6)</f>
        <v>138</v>
      </c>
    </row>
    <row r="27" spans="2:8" x14ac:dyDescent="0.2">
      <c r="B27" s="6">
        <f>RANK('11of st. k.'!C27,'11of st. k.'!$C$4:'11of st. k.'!$C$29,1)+COUNTIF('11of st. k.'!$C$4:'11of st. k.'!C27,'11of st. k.'!C27)-1</f>
        <v>25</v>
      </c>
      <c r="C27" s="5" t="str">
        <f>INDEX('11of st. k.'!B4:G29,MATCH(24,B4:B29,0),1)</f>
        <v>mielecki</v>
      </c>
      <c r="D27" s="6">
        <f>INDEX('11of st. k.'!B4:G29,MATCH(24,B4:B29,0),2)</f>
        <v>337</v>
      </c>
      <c r="E27" s="61">
        <f>INDEX('11of st. k.'!B4:G29,MATCH(24,B4:B29,0),3)</f>
        <v>358</v>
      </c>
      <c r="F27" s="6">
        <f>INDEX('11of st. k.'!B4:G29,MATCH(24,B4:B29,0),4)</f>
        <v>-21</v>
      </c>
      <c r="G27" s="61">
        <f>INDEX('11of st. k.'!B4:G29,MATCH(24,B4:B29,0),5)</f>
        <v>188</v>
      </c>
      <c r="H27" s="6">
        <f>INDEX('11of st. k.'!B4:G29,MATCH(24,B4:B29,0),6)</f>
        <v>149</v>
      </c>
    </row>
    <row r="28" spans="2:8" x14ac:dyDescent="0.2">
      <c r="B28" s="6">
        <f>RANK('11of st. k.'!C28,'11of st. k.'!$C$4:'11of st. k.'!$C$29,1)+COUNTIF('11of st. k.'!$C$4:'11of st. k.'!C28,'11of st. k.'!C28)-1</f>
        <v>16</v>
      </c>
      <c r="C28" s="5" t="str">
        <f>INDEX('11of st. k.'!B4:G29,MATCH(25,B4:B29,0),1)</f>
        <v>Rzeszów</v>
      </c>
      <c r="D28" s="6">
        <f>INDEX('11of st. k.'!B4:G29,MATCH(25,B4:B29,0),2)</f>
        <v>515</v>
      </c>
      <c r="E28" s="61">
        <f>INDEX('11of st. k.'!B4:G29,MATCH(25,B4:B29,0),3)</f>
        <v>415</v>
      </c>
      <c r="F28" s="6">
        <f>INDEX('11of st. k.'!B4:G29,MATCH(25,B4:B29,0),4)</f>
        <v>100</v>
      </c>
      <c r="G28" s="61">
        <f>INDEX('11of st. k.'!B4:G29,MATCH(25,B4:B29,0),5)</f>
        <v>307</v>
      </c>
      <c r="H28" s="6">
        <f>INDEX('11of st. k.'!B4:G29,MATCH(25,B4:B29,0),6)</f>
        <v>208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2524</v>
      </c>
      <c r="E29" s="63">
        <f>INDEX('11of st. k.'!B4:G29,MATCH(26,B4:B29,0),3)</f>
        <v>2284</v>
      </c>
      <c r="F29" s="59">
        <f>INDEX('11of st. k.'!B4:G29,MATCH(26,B4:B29,0),4)</f>
        <v>240</v>
      </c>
      <c r="G29" s="63">
        <f>INDEX('11of st. k.'!B4:G29,MATCH(26,B4:B29,0),5)</f>
        <v>2117</v>
      </c>
      <c r="H29" s="59">
        <f>INDEX('11of st. k.'!B4:G29,MATCH(26,B4:B29,0),6)</f>
        <v>407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="90" zoomScaleNormal="90" workbookViewId="0">
      <selection activeCell="C1" sqref="C1"/>
    </sheetView>
  </sheetViews>
  <sheetFormatPr defaultRowHeight="11.25" x14ac:dyDescent="0.2"/>
  <cols>
    <col min="1" max="1" width="2" style="83" customWidth="1"/>
    <col min="2" max="2" width="4.7109375" style="83" customWidth="1"/>
    <col min="3" max="3" width="19.28515625" style="83" customWidth="1"/>
    <col min="4" max="4" width="8.85546875" style="83" customWidth="1"/>
    <col min="5" max="5" width="8.28515625" style="83" customWidth="1"/>
    <col min="6" max="6" width="7.140625" style="83" customWidth="1"/>
    <col min="7" max="7" width="2.28515625" style="83" customWidth="1"/>
    <col min="8" max="8" width="8.7109375" style="83" customWidth="1"/>
    <col min="9" max="9" width="8.5703125" style="83" customWidth="1"/>
    <col min="10" max="10" width="7.140625" style="83" customWidth="1"/>
    <col min="11" max="11" width="2.42578125" style="83" customWidth="1"/>
    <col min="12" max="12" width="7.140625" style="83" customWidth="1"/>
    <col min="13" max="14" width="7.42578125" style="83" customWidth="1"/>
    <col min="15" max="15" width="2.28515625" style="83" customWidth="1"/>
    <col min="16" max="16" width="5.85546875" style="83" customWidth="1"/>
    <col min="17" max="17" width="2" style="83" customWidth="1"/>
    <col min="18" max="18" width="8.28515625" style="83" customWidth="1"/>
    <col min="19" max="19" width="10" style="83" customWidth="1"/>
    <col min="20" max="20" width="6.28515625" style="83" customWidth="1"/>
    <col min="21" max="21" width="2.140625" style="83" customWidth="1"/>
    <col min="22" max="22" width="8.42578125" style="83" customWidth="1"/>
    <col min="23" max="23" width="9" style="83" customWidth="1"/>
    <col min="24" max="24" width="6.85546875" style="83" customWidth="1"/>
    <col min="25" max="25" width="2.42578125" style="83" customWidth="1"/>
    <col min="26" max="26" width="6" style="106" customWidth="1"/>
    <col min="27" max="27" width="18.7109375" style="83" customWidth="1"/>
    <col min="28" max="28" width="6" style="83" customWidth="1"/>
    <col min="29" max="29" width="2.42578125" style="83" customWidth="1"/>
    <col min="30" max="30" width="6" style="83" customWidth="1"/>
    <col min="31" max="31" width="18.85546875" style="83" customWidth="1"/>
    <col min="32" max="32" width="5.28515625" style="83" customWidth="1"/>
    <col min="33" max="33" width="2.42578125" style="83" customWidth="1"/>
    <col min="34" max="34" width="4.140625" style="83" customWidth="1"/>
    <col min="35" max="35" width="4.42578125" style="83" customWidth="1"/>
    <col min="36" max="16384" width="9.140625" style="83"/>
  </cols>
  <sheetData>
    <row r="1" spans="2:35" ht="11.25" customHeight="1" x14ac:dyDescent="0.2">
      <c r="C1" s="144" t="s">
        <v>109</v>
      </c>
      <c r="D1" s="142"/>
      <c r="E1" s="142"/>
      <c r="F1" s="142"/>
      <c r="G1" s="52"/>
      <c r="H1" s="52"/>
      <c r="I1" s="52"/>
      <c r="J1" s="52"/>
      <c r="K1" s="52"/>
      <c r="L1" s="52"/>
      <c r="M1" s="52"/>
      <c r="N1" s="52"/>
      <c r="O1" s="52"/>
      <c r="Q1" s="82"/>
      <c r="S1" s="52"/>
      <c r="U1" s="82"/>
      <c r="X1" s="52"/>
      <c r="Y1" s="82"/>
    </row>
    <row r="2" spans="2:35" ht="13.5" customHeight="1" thickBot="1" x14ac:dyDescent="0.25">
      <c r="C2" s="143" t="s">
        <v>105</v>
      </c>
      <c r="D2" s="139"/>
      <c r="E2" s="139"/>
      <c r="F2" s="139"/>
      <c r="G2" s="140"/>
      <c r="H2" s="143" t="s">
        <v>106</v>
      </c>
      <c r="I2" s="140"/>
      <c r="J2" s="140"/>
      <c r="K2" s="140"/>
      <c r="L2" s="143" t="s">
        <v>107</v>
      </c>
      <c r="M2" s="140"/>
      <c r="N2" s="140"/>
      <c r="O2" s="140"/>
      <c r="P2" s="82"/>
      <c r="Q2" s="120"/>
      <c r="R2" s="159" t="s">
        <v>118</v>
      </c>
      <c r="S2" s="140"/>
      <c r="T2" s="82"/>
      <c r="U2" s="120"/>
      <c r="V2" s="82"/>
      <c r="W2" s="82"/>
      <c r="X2" s="140"/>
      <c r="Y2" s="120"/>
      <c r="Z2" s="141"/>
      <c r="AA2" s="121"/>
      <c r="AB2" s="121"/>
      <c r="AC2" s="121"/>
      <c r="AD2" s="121"/>
      <c r="AE2" s="121"/>
      <c r="AF2" s="121"/>
      <c r="AG2" s="121"/>
      <c r="AH2" s="121"/>
      <c r="AI2" s="121"/>
    </row>
    <row r="3" spans="2:35" ht="45.75" thickBot="1" x14ac:dyDescent="0.25">
      <c r="B3" s="174"/>
      <c r="C3" s="136" t="s">
        <v>27</v>
      </c>
      <c r="D3" s="145" t="s">
        <v>151</v>
      </c>
      <c r="E3" s="149" t="s">
        <v>152</v>
      </c>
      <c r="F3" s="150" t="s">
        <v>111</v>
      </c>
      <c r="G3" s="114"/>
      <c r="H3" s="146" t="s">
        <v>153</v>
      </c>
      <c r="I3" s="149" t="s">
        <v>154</v>
      </c>
      <c r="J3" s="150" t="s">
        <v>112</v>
      </c>
      <c r="K3" s="114"/>
      <c r="L3" s="146" t="s">
        <v>155</v>
      </c>
      <c r="M3" s="149" t="s">
        <v>156</v>
      </c>
      <c r="N3" s="150" t="s">
        <v>111</v>
      </c>
      <c r="O3" s="114"/>
      <c r="P3" s="147" t="s">
        <v>108</v>
      </c>
      <c r="Q3" s="118"/>
      <c r="R3" s="268" t="s">
        <v>99</v>
      </c>
      <c r="S3" s="149" t="s">
        <v>157</v>
      </c>
      <c r="T3" s="148" t="s">
        <v>110</v>
      </c>
      <c r="U3" s="85"/>
      <c r="V3" s="268" t="s">
        <v>104</v>
      </c>
      <c r="W3" s="163" t="s">
        <v>158</v>
      </c>
      <c r="X3" s="156" t="s">
        <v>117</v>
      </c>
      <c r="Z3" s="167" t="s">
        <v>100</v>
      </c>
      <c r="AA3" s="137" t="s">
        <v>97</v>
      </c>
      <c r="AB3" s="138" t="s">
        <v>97</v>
      </c>
      <c r="AC3" s="169"/>
      <c r="AD3" s="167" t="s">
        <v>101</v>
      </c>
      <c r="AE3" s="137" t="s">
        <v>98</v>
      </c>
      <c r="AF3" s="138" t="s">
        <v>98</v>
      </c>
      <c r="AG3" s="118"/>
      <c r="AH3" s="174"/>
      <c r="AI3" s="175"/>
    </row>
    <row r="4" spans="2:35" x14ac:dyDescent="0.2">
      <c r="B4" s="174">
        <v>1</v>
      </c>
      <c r="C4" s="122" t="s">
        <v>0</v>
      </c>
      <c r="D4" s="109">
        <v>606</v>
      </c>
      <c r="E4" s="93">
        <v>585</v>
      </c>
      <c r="F4" s="151">
        <f t="shared" ref="F4:F28" si="0">E4-D4</f>
        <v>-21</v>
      </c>
      <c r="G4" s="112"/>
      <c r="H4" s="84">
        <v>217</v>
      </c>
      <c r="I4" s="86">
        <v>246</v>
      </c>
      <c r="J4" s="102">
        <f t="shared" ref="J4:J28" si="1">I4-H4</f>
        <v>29</v>
      </c>
      <c r="K4" s="115"/>
      <c r="L4" s="84">
        <v>177</v>
      </c>
      <c r="M4" s="86">
        <v>144</v>
      </c>
      <c r="N4" s="102">
        <f t="shared" ref="N4:N28" si="2">M4-L4</f>
        <v>-33</v>
      </c>
      <c r="O4" s="115"/>
      <c r="P4" s="96">
        <f>F4+J4+N4</f>
        <v>-25</v>
      </c>
      <c r="Q4" s="119"/>
      <c r="R4" s="269">
        <v>1112</v>
      </c>
      <c r="S4" s="86">
        <v>1035</v>
      </c>
      <c r="T4" s="98">
        <f>SUM(S4-R4)</f>
        <v>-77</v>
      </c>
      <c r="U4" s="87"/>
      <c r="V4" s="269">
        <v>1184</v>
      </c>
      <c r="W4" s="157">
        <v>1070</v>
      </c>
      <c r="X4" s="157">
        <f>SUM(W4-V4)</f>
        <v>-114</v>
      </c>
      <c r="Z4" s="96">
        <f>RANK(P4,$P$4:$P$28,1)+COUNTIF($P$4:P4,P4)-1</f>
        <v>18</v>
      </c>
      <c r="AA4" s="99" t="str">
        <f>INDEX(C4:P28,MATCH(1,Z4:Z28,0),1)</f>
        <v>mielecki</v>
      </c>
      <c r="AB4" s="86">
        <f>INDEX(C4:P28,MATCH(1,Z4:Z28,0),14)</f>
        <v>-624</v>
      </c>
      <c r="AC4" s="170"/>
      <c r="AD4" s="96">
        <f>RANK(T4,$T$4:$T$28,1)+COUNTIF($T$4:T4,T4)-1</f>
        <v>15</v>
      </c>
      <c r="AE4" s="99" t="str">
        <f>INDEX(C4:T28,MATCH(1,AD4:AD28,0),1)</f>
        <v>jarosławski</v>
      </c>
      <c r="AF4" s="86">
        <f>INDEX(C4:T28,MATCH(1,AD4:AD28,0),18)</f>
        <v>-507</v>
      </c>
      <c r="AG4" s="120"/>
      <c r="AH4" s="174">
        <v>1</v>
      </c>
      <c r="AI4" s="176">
        <f t="shared" ref="AI4:AI28" si="3">SUM(Z4)-AD4</f>
        <v>3</v>
      </c>
    </row>
    <row r="5" spans="2:35" x14ac:dyDescent="0.2">
      <c r="B5" s="174">
        <v>2</v>
      </c>
      <c r="C5" s="123" t="s">
        <v>1</v>
      </c>
      <c r="D5" s="110">
        <v>1706</v>
      </c>
      <c r="E5" s="94">
        <v>1757</v>
      </c>
      <c r="F5" s="152">
        <f t="shared" si="0"/>
        <v>51</v>
      </c>
      <c r="G5" s="112"/>
      <c r="H5" s="89">
        <v>471</v>
      </c>
      <c r="I5" s="88">
        <v>458</v>
      </c>
      <c r="J5" s="103">
        <f t="shared" si="1"/>
        <v>-13</v>
      </c>
      <c r="K5" s="115"/>
      <c r="L5" s="89">
        <v>333</v>
      </c>
      <c r="M5" s="88">
        <v>253</v>
      </c>
      <c r="N5" s="103">
        <f t="shared" si="2"/>
        <v>-80</v>
      </c>
      <c r="O5" s="115"/>
      <c r="P5" s="97">
        <f>F5+J5+N5</f>
        <v>-42</v>
      </c>
      <c r="Q5" s="119"/>
      <c r="R5" s="270">
        <v>4038</v>
      </c>
      <c r="S5" s="88">
        <v>3736</v>
      </c>
      <c r="T5" s="107">
        <f t="shared" ref="T5:T28" si="4">SUM(S5-R5)</f>
        <v>-302</v>
      </c>
      <c r="U5" s="87"/>
      <c r="V5" s="270">
        <v>4282</v>
      </c>
      <c r="W5" s="158">
        <v>3972</v>
      </c>
      <c r="X5" s="158">
        <f t="shared" ref="X5:X28" si="5">SUM(W5-V5)</f>
        <v>-310</v>
      </c>
      <c r="Z5" s="97">
        <f>RANK(P5,$P$4:$P$28,1)+COUNTIF($P$4:P5,P5)-1</f>
        <v>17</v>
      </c>
      <c r="AA5" s="100" t="str">
        <f>INDEX(C4:P28,MATCH(2,Z4:Z28,0),1)</f>
        <v>Rzeszów</v>
      </c>
      <c r="AB5" s="88">
        <f>INDEX(C4:P28,MATCH(2,Z4:Z28,0),14)</f>
        <v>-471</v>
      </c>
      <c r="AC5" s="170"/>
      <c r="AD5" s="97">
        <f>RANK(T5,$T$4:$T$28,1)+COUNTIF($T$4:T5,T5)-1</f>
        <v>5</v>
      </c>
      <c r="AE5" s="100" t="str">
        <f>INDEX(C4:T28,MATCH(2,AD4:AD28,0),1)</f>
        <v>przeworski</v>
      </c>
      <c r="AF5" s="88">
        <f>INDEX(C4:T28,MATCH(2,AD4:AD28,0),18)</f>
        <v>-400</v>
      </c>
      <c r="AG5" s="120"/>
      <c r="AH5" s="174">
        <v>2</v>
      </c>
      <c r="AI5" s="176">
        <f t="shared" si="3"/>
        <v>12</v>
      </c>
    </row>
    <row r="6" spans="2:35" x14ac:dyDescent="0.2">
      <c r="B6" s="174">
        <v>3</v>
      </c>
      <c r="C6" s="123" t="s">
        <v>2</v>
      </c>
      <c r="D6" s="110">
        <v>1868</v>
      </c>
      <c r="E6" s="94">
        <v>1760</v>
      </c>
      <c r="F6" s="152">
        <f t="shared" si="0"/>
        <v>-108</v>
      </c>
      <c r="G6" s="112"/>
      <c r="H6" s="89">
        <v>531</v>
      </c>
      <c r="I6" s="88">
        <v>514</v>
      </c>
      <c r="J6" s="103">
        <f t="shared" si="1"/>
        <v>-17</v>
      </c>
      <c r="K6" s="115"/>
      <c r="L6" s="89">
        <v>261</v>
      </c>
      <c r="M6" s="88">
        <v>208</v>
      </c>
      <c r="N6" s="103">
        <f t="shared" si="2"/>
        <v>-53</v>
      </c>
      <c r="O6" s="115"/>
      <c r="P6" s="97">
        <f>F6+J6+N6</f>
        <v>-178</v>
      </c>
      <c r="Q6" s="119"/>
      <c r="R6" s="270">
        <v>2435</v>
      </c>
      <c r="S6" s="88">
        <v>2400</v>
      </c>
      <c r="T6" s="88">
        <f t="shared" si="4"/>
        <v>-35</v>
      </c>
      <c r="U6" s="82"/>
      <c r="V6" s="270">
        <v>2682</v>
      </c>
      <c r="W6" s="158">
        <v>2411</v>
      </c>
      <c r="X6" s="103">
        <f t="shared" si="5"/>
        <v>-271</v>
      </c>
      <c r="Z6" s="97">
        <f>RANK(P6,$P$4:$P$28,1)+COUNTIF($P$4:P6,P6)-1</f>
        <v>10</v>
      </c>
      <c r="AA6" s="100" t="str">
        <f>INDEX(C4:P28,MATCH(3,Z4:Z28,0),1)</f>
        <v>stalowowolski</v>
      </c>
      <c r="AB6" s="88">
        <f>INDEX(C4:P28,MATCH(3,Z4:Z28,0),14)</f>
        <v>-375</v>
      </c>
      <c r="AC6" s="170"/>
      <c r="AD6" s="97">
        <f>RANK(T6,$T$4:$T$28,1)+COUNTIF($T$4:T6,T6)-1</f>
        <v>17</v>
      </c>
      <c r="AE6" s="100" t="str">
        <f>INDEX(C4:T28,MATCH(3,AD4:AD28,0),1)</f>
        <v>Rzeszów</v>
      </c>
      <c r="AF6" s="88">
        <f>INDEX(C4:T28,MATCH(3,AD4:AD28,0),18)</f>
        <v>-370</v>
      </c>
      <c r="AG6" s="120"/>
      <c r="AH6" s="174">
        <v>3</v>
      </c>
      <c r="AI6" s="176">
        <f t="shared" si="3"/>
        <v>-7</v>
      </c>
    </row>
    <row r="7" spans="2:35" x14ac:dyDescent="0.2">
      <c r="B7" s="174">
        <v>4</v>
      </c>
      <c r="C7" s="123" t="s">
        <v>3</v>
      </c>
      <c r="D7" s="110">
        <v>2729</v>
      </c>
      <c r="E7" s="94">
        <v>2724</v>
      </c>
      <c r="F7" s="152">
        <f t="shared" si="0"/>
        <v>-5</v>
      </c>
      <c r="G7" s="112"/>
      <c r="H7" s="89">
        <v>1030</v>
      </c>
      <c r="I7" s="88">
        <v>760</v>
      </c>
      <c r="J7" s="103">
        <f t="shared" si="1"/>
        <v>-270</v>
      </c>
      <c r="K7" s="115"/>
      <c r="L7" s="89">
        <v>474</v>
      </c>
      <c r="M7" s="88">
        <v>401</v>
      </c>
      <c r="N7" s="103">
        <f t="shared" si="2"/>
        <v>-73</v>
      </c>
      <c r="O7" s="115"/>
      <c r="P7" s="97">
        <f t="shared" ref="P7:P28" si="6">F7+J7+N7</f>
        <v>-348</v>
      </c>
      <c r="Q7" s="119"/>
      <c r="R7" s="270">
        <v>4674</v>
      </c>
      <c r="S7" s="88">
        <v>4167</v>
      </c>
      <c r="T7" s="88">
        <f t="shared" si="4"/>
        <v>-507</v>
      </c>
      <c r="U7" s="82"/>
      <c r="V7" s="270">
        <v>5381</v>
      </c>
      <c r="W7" s="158">
        <v>4641</v>
      </c>
      <c r="X7" s="103">
        <f t="shared" si="5"/>
        <v>-740</v>
      </c>
      <c r="Z7" s="97">
        <f>RANK(P7,$P$4:$P$28,1)+COUNTIF($P$4:P7,P7)-1</f>
        <v>5</v>
      </c>
      <c r="AA7" s="100" t="str">
        <f>INDEX(C4:P28,MATCH(4,Z4:Z28,0),1)</f>
        <v>łańcucki</v>
      </c>
      <c r="AB7" s="88">
        <f>INDEX(C4:P28,MATCH(4,Z4:Z28,0),14)</f>
        <v>-362</v>
      </c>
      <c r="AC7" s="170"/>
      <c r="AD7" s="97">
        <f>RANK(T7,$T$4:$T$28,1)+COUNTIF($T$4:T7,T7)-1</f>
        <v>1</v>
      </c>
      <c r="AE7" s="100" t="str">
        <f>INDEX(C4:T28,MATCH(4,AD4:AD28,0),1)</f>
        <v>rzeszowski</v>
      </c>
      <c r="AF7" s="88">
        <f>INDEX(C4:T28,MATCH(4,AD4:AD28,0),18)</f>
        <v>-315</v>
      </c>
      <c r="AG7" s="120"/>
      <c r="AH7" s="174">
        <v>4</v>
      </c>
      <c r="AI7" s="178">
        <f t="shared" si="3"/>
        <v>4</v>
      </c>
    </row>
    <row r="8" spans="2:35" x14ac:dyDescent="0.2">
      <c r="B8" s="174">
        <v>5</v>
      </c>
      <c r="C8" s="123" t="s">
        <v>4</v>
      </c>
      <c r="D8" s="110">
        <v>2062</v>
      </c>
      <c r="E8" s="94">
        <v>2308</v>
      </c>
      <c r="F8" s="152">
        <f t="shared" si="0"/>
        <v>246</v>
      </c>
      <c r="G8" s="112"/>
      <c r="H8" s="89">
        <v>783</v>
      </c>
      <c r="I8" s="88">
        <v>717</v>
      </c>
      <c r="J8" s="103">
        <f t="shared" si="1"/>
        <v>-66</v>
      </c>
      <c r="K8" s="115"/>
      <c r="L8" s="89">
        <v>413</v>
      </c>
      <c r="M8" s="88">
        <v>326</v>
      </c>
      <c r="N8" s="103">
        <f t="shared" si="2"/>
        <v>-87</v>
      </c>
      <c r="O8" s="115"/>
      <c r="P8" s="97">
        <f t="shared" si="6"/>
        <v>93</v>
      </c>
      <c r="Q8" s="119"/>
      <c r="R8" s="270">
        <v>4926</v>
      </c>
      <c r="S8" s="88">
        <v>4968</v>
      </c>
      <c r="T8" s="88">
        <f t="shared" si="4"/>
        <v>42</v>
      </c>
      <c r="U8" s="82"/>
      <c r="V8" s="270">
        <v>5442</v>
      </c>
      <c r="W8" s="158">
        <v>4859</v>
      </c>
      <c r="X8" s="103">
        <f t="shared" si="5"/>
        <v>-583</v>
      </c>
      <c r="Z8" s="97">
        <f>RANK(P8,$P$4:$P$28,1)+COUNTIF($P$4:P8,P8)-1</f>
        <v>24</v>
      </c>
      <c r="AA8" s="100" t="str">
        <f>INDEX(C4:P28,MATCH(5,Z4:Z28,0),1)</f>
        <v>jarosławski</v>
      </c>
      <c r="AB8" s="88">
        <f>INDEX(C4:P28,MATCH(5,Z4:Z28,0),14)</f>
        <v>-348</v>
      </c>
      <c r="AC8" s="170"/>
      <c r="AD8" s="97">
        <f>RANK(T8,$T$4:$T$28,1)+COUNTIF($T$4:T8,T8)-1</f>
        <v>20</v>
      </c>
      <c r="AE8" s="100" t="str">
        <f>INDEX(C4:T28,MATCH(5,AD4:AD28,0),1)</f>
        <v>brzozowski</v>
      </c>
      <c r="AF8" s="88">
        <f>INDEX(C4:T28,MATCH(5,AD4:AD28,0),18)</f>
        <v>-302</v>
      </c>
      <c r="AG8" s="120"/>
      <c r="AH8" s="174">
        <v>5</v>
      </c>
      <c r="AI8" s="175">
        <f t="shared" si="3"/>
        <v>4</v>
      </c>
    </row>
    <row r="9" spans="2:35" x14ac:dyDescent="0.2">
      <c r="B9" s="174">
        <v>6</v>
      </c>
      <c r="C9" s="123" t="s">
        <v>5</v>
      </c>
      <c r="D9" s="110">
        <v>1049</v>
      </c>
      <c r="E9" s="94">
        <v>1026</v>
      </c>
      <c r="F9" s="152">
        <f t="shared" si="0"/>
        <v>-23</v>
      </c>
      <c r="G9" s="112"/>
      <c r="H9" s="89">
        <v>228</v>
      </c>
      <c r="I9" s="88">
        <v>286</v>
      </c>
      <c r="J9" s="103">
        <f t="shared" si="1"/>
        <v>58</v>
      </c>
      <c r="K9" s="115"/>
      <c r="L9" s="89">
        <v>310</v>
      </c>
      <c r="M9" s="88">
        <v>206</v>
      </c>
      <c r="N9" s="103">
        <f t="shared" si="2"/>
        <v>-104</v>
      </c>
      <c r="O9" s="115"/>
      <c r="P9" s="97">
        <f t="shared" si="6"/>
        <v>-69</v>
      </c>
      <c r="Q9" s="119"/>
      <c r="R9" s="270">
        <v>1577</v>
      </c>
      <c r="S9" s="88">
        <v>1478</v>
      </c>
      <c r="T9" s="88">
        <f t="shared" si="4"/>
        <v>-99</v>
      </c>
      <c r="U9" s="82"/>
      <c r="V9" s="270">
        <v>1744</v>
      </c>
      <c r="W9" s="158">
        <v>1563</v>
      </c>
      <c r="X9" s="103">
        <f t="shared" si="5"/>
        <v>-181</v>
      </c>
      <c r="Z9" s="97">
        <f>RANK(P9,$P$4:$P$28,1)+COUNTIF($P$4:P9,P9)-1</f>
        <v>15</v>
      </c>
      <c r="AA9" s="100" t="str">
        <f>INDEX(C4:P28,MATCH(6,Z4:Z28,0),1)</f>
        <v>rzeszowski</v>
      </c>
      <c r="AB9" s="88">
        <f>INDEX(C4:P28,MATCH(6,Z4:Z28,0),14)</f>
        <v>-339</v>
      </c>
      <c r="AC9" s="170"/>
      <c r="AD9" s="97">
        <f>RANK(T9,$T$4:$T$28,1)+COUNTIF($T$4:T9,T9)-1</f>
        <v>13</v>
      </c>
      <c r="AE9" s="100" t="str">
        <f>INDEX(C4:T28,MATCH(6,AD4:AD28,0),1)</f>
        <v>ropczycko-sędziszowski</v>
      </c>
      <c r="AF9" s="88">
        <f>INDEX(C4:T28,MATCH(6,AD4:AD28,0),18)</f>
        <v>-274</v>
      </c>
      <c r="AG9" s="120"/>
      <c r="AH9" s="174">
        <v>6</v>
      </c>
      <c r="AI9" s="177">
        <f t="shared" si="3"/>
        <v>2</v>
      </c>
    </row>
    <row r="10" spans="2:35" x14ac:dyDescent="0.2">
      <c r="B10" s="174">
        <v>7</v>
      </c>
      <c r="C10" s="123" t="s">
        <v>6</v>
      </c>
      <c r="D10" s="110">
        <v>1253</v>
      </c>
      <c r="E10" s="94">
        <v>1435</v>
      </c>
      <c r="F10" s="152">
        <f t="shared" si="0"/>
        <v>182</v>
      </c>
      <c r="G10" s="112"/>
      <c r="H10" s="89">
        <v>325</v>
      </c>
      <c r="I10" s="88">
        <v>336</v>
      </c>
      <c r="J10" s="103">
        <f t="shared" si="1"/>
        <v>11</v>
      </c>
      <c r="K10" s="115"/>
      <c r="L10" s="89">
        <v>176</v>
      </c>
      <c r="M10" s="88">
        <v>146</v>
      </c>
      <c r="N10" s="103">
        <f t="shared" si="2"/>
        <v>-30</v>
      </c>
      <c r="O10" s="115"/>
      <c r="P10" s="97">
        <f>F10+J10+N10</f>
        <v>163</v>
      </c>
      <c r="Q10" s="119"/>
      <c r="R10" s="270">
        <v>2018</v>
      </c>
      <c r="S10" s="88">
        <v>2136</v>
      </c>
      <c r="T10" s="107">
        <f t="shared" si="4"/>
        <v>118</v>
      </c>
      <c r="U10" s="82"/>
      <c r="V10" s="270">
        <v>1995</v>
      </c>
      <c r="W10" s="158">
        <v>1933</v>
      </c>
      <c r="X10" s="103">
        <f t="shared" si="5"/>
        <v>-62</v>
      </c>
      <c r="Z10" s="97">
        <f>RANK(P10,$P$4:$P$28,1)+COUNTIF($P$4:P10,P10)-1</f>
        <v>25</v>
      </c>
      <c r="AA10" s="100" t="str">
        <f>INDEX(C4:P28,MATCH(7,Z4:Z28,0),1)</f>
        <v>leżajski</v>
      </c>
      <c r="AB10" s="88">
        <f>INDEX(C4:P28,MATCH(7,Z4:Z28,0),14)</f>
        <v>-301</v>
      </c>
      <c r="AC10" s="170"/>
      <c r="AD10" s="97">
        <f>RANK(T10,$T$4:$T$28,1)+COUNTIF($T$4:T10,T10)-1</f>
        <v>24</v>
      </c>
      <c r="AE10" s="100" t="str">
        <f>INDEX(C4:T28,MATCH(7,AD4:AD28,0),1)</f>
        <v>strzyżowski</v>
      </c>
      <c r="AF10" s="88">
        <f>INDEX(C4:T28,MATCH(7,AD4:AD28,0),18)</f>
        <v>-267</v>
      </c>
      <c r="AG10" s="120"/>
      <c r="AH10" s="174">
        <v>7</v>
      </c>
      <c r="AI10" s="177">
        <f t="shared" si="3"/>
        <v>1</v>
      </c>
    </row>
    <row r="11" spans="2:35" x14ac:dyDescent="0.2">
      <c r="B11" s="174">
        <v>8</v>
      </c>
      <c r="C11" s="123" t="s">
        <v>7</v>
      </c>
      <c r="D11" s="110">
        <v>928</v>
      </c>
      <c r="E11" s="94">
        <v>870</v>
      </c>
      <c r="F11" s="152">
        <f t="shared" si="0"/>
        <v>-58</v>
      </c>
      <c r="G11" s="112"/>
      <c r="H11" s="89">
        <v>217</v>
      </c>
      <c r="I11" s="88">
        <v>238</v>
      </c>
      <c r="J11" s="103">
        <f t="shared" si="1"/>
        <v>21</v>
      </c>
      <c r="K11" s="115"/>
      <c r="L11" s="89">
        <v>116</v>
      </c>
      <c r="M11" s="88">
        <v>85</v>
      </c>
      <c r="N11" s="103">
        <f t="shared" si="2"/>
        <v>-31</v>
      </c>
      <c r="O11" s="115"/>
      <c r="P11" s="97">
        <f t="shared" si="6"/>
        <v>-68</v>
      </c>
      <c r="Q11" s="119"/>
      <c r="R11" s="270">
        <v>1747</v>
      </c>
      <c r="S11" s="88">
        <v>1667</v>
      </c>
      <c r="T11" s="88">
        <f t="shared" si="4"/>
        <v>-80</v>
      </c>
      <c r="U11" s="82"/>
      <c r="V11" s="270">
        <v>1745</v>
      </c>
      <c r="W11" s="158">
        <v>1691</v>
      </c>
      <c r="X11" s="103">
        <f t="shared" si="5"/>
        <v>-54</v>
      </c>
      <c r="Z11" s="97">
        <f>RANK(P11,$P$4:$P$28,1)+COUNTIF($P$4:P11,P11)-1</f>
        <v>16</v>
      </c>
      <c r="AA11" s="100" t="str">
        <f>INDEX(C4:P28,MATCH(8,Z4:Z28,0),1)</f>
        <v>ropczycko-sędziszowski</v>
      </c>
      <c r="AB11" s="88">
        <f>INDEX(C4:P28,MATCH(8,Z4:Z28,0),14)</f>
        <v>-278</v>
      </c>
      <c r="AC11" s="170"/>
      <c r="AD11" s="97">
        <f>RANK(T11,$T$4:$T$28,1)+COUNTIF($T$4:T11,T11)-1</f>
        <v>14</v>
      </c>
      <c r="AE11" s="100" t="str">
        <f>INDEX(C4:T28,MATCH(8,AD4:AD28,0),1)</f>
        <v>przemyski</v>
      </c>
      <c r="AF11" s="88">
        <f>INDEX(C4:T28,MATCH(8,AD4:AD28,0),18)</f>
        <v>-245</v>
      </c>
      <c r="AG11" s="120"/>
      <c r="AH11" s="174">
        <v>8</v>
      </c>
      <c r="AI11" s="175">
        <f t="shared" si="3"/>
        <v>2</v>
      </c>
    </row>
    <row r="12" spans="2:35" x14ac:dyDescent="0.2">
      <c r="B12" s="174">
        <v>9</v>
      </c>
      <c r="C12" s="123" t="s">
        <v>8</v>
      </c>
      <c r="D12" s="110">
        <v>1755</v>
      </c>
      <c r="E12" s="94">
        <v>1607</v>
      </c>
      <c r="F12" s="152">
        <f t="shared" si="0"/>
        <v>-148</v>
      </c>
      <c r="G12" s="112"/>
      <c r="H12" s="89">
        <v>490</v>
      </c>
      <c r="I12" s="88">
        <v>461</v>
      </c>
      <c r="J12" s="103">
        <f t="shared" si="1"/>
        <v>-29</v>
      </c>
      <c r="K12" s="115"/>
      <c r="L12" s="89">
        <v>557</v>
      </c>
      <c r="M12" s="88">
        <v>433</v>
      </c>
      <c r="N12" s="103">
        <f t="shared" si="2"/>
        <v>-124</v>
      </c>
      <c r="O12" s="115"/>
      <c r="P12" s="97">
        <f t="shared" si="6"/>
        <v>-301</v>
      </c>
      <c r="Q12" s="119"/>
      <c r="R12" s="270">
        <v>3198</v>
      </c>
      <c r="S12" s="88">
        <v>2975</v>
      </c>
      <c r="T12" s="88">
        <f t="shared" si="4"/>
        <v>-223</v>
      </c>
      <c r="U12" s="82"/>
      <c r="V12" s="270">
        <v>3656</v>
      </c>
      <c r="W12" s="158">
        <v>3124</v>
      </c>
      <c r="X12" s="103">
        <f t="shared" si="5"/>
        <v>-532</v>
      </c>
      <c r="Z12" s="97">
        <f>RANK(P12,$P$4:$P$28,1)+COUNTIF($P$4:P12,P12)-1</f>
        <v>7</v>
      </c>
      <c r="AA12" s="100" t="str">
        <f>INDEX(C4:P28,MATCH(9,Z4:Z28,0),1)</f>
        <v>Tarnobrzeg</v>
      </c>
      <c r="AB12" s="88">
        <f>INDEX(C4:P28,MATCH(9,Z4:Z28,0),14)</f>
        <v>-203</v>
      </c>
      <c r="AC12" s="170"/>
      <c r="AD12" s="97">
        <f>RANK(T12,$T$4:$T$28,1)+COUNTIF($T$4:T12,T12)-1</f>
        <v>9</v>
      </c>
      <c r="AE12" s="100" t="str">
        <f>INDEX(C4:T28,MATCH(9,AD4:AD28,0),1)</f>
        <v>leżajski</v>
      </c>
      <c r="AF12" s="88">
        <f>INDEX(C4:T28,MATCH(9,AD4:AD28,0),18)</f>
        <v>-223</v>
      </c>
      <c r="AG12" s="120"/>
      <c r="AH12" s="174">
        <v>9</v>
      </c>
      <c r="AI12" s="177">
        <f t="shared" si="3"/>
        <v>-2</v>
      </c>
    </row>
    <row r="13" spans="2:35" x14ac:dyDescent="0.2">
      <c r="B13" s="174">
        <v>10</v>
      </c>
      <c r="C13" s="123" t="s">
        <v>9</v>
      </c>
      <c r="D13" s="110">
        <v>1113</v>
      </c>
      <c r="E13" s="94">
        <v>1151</v>
      </c>
      <c r="F13" s="152">
        <f t="shared" si="0"/>
        <v>38</v>
      </c>
      <c r="G13" s="112"/>
      <c r="H13" s="89">
        <v>322</v>
      </c>
      <c r="I13" s="88">
        <v>331</v>
      </c>
      <c r="J13" s="103">
        <f t="shared" si="1"/>
        <v>9</v>
      </c>
      <c r="K13" s="115"/>
      <c r="L13" s="89">
        <v>329</v>
      </c>
      <c r="M13" s="88">
        <v>320</v>
      </c>
      <c r="N13" s="103">
        <f t="shared" si="2"/>
        <v>-9</v>
      </c>
      <c r="O13" s="115"/>
      <c r="P13" s="97">
        <f t="shared" si="6"/>
        <v>38</v>
      </c>
      <c r="Q13" s="119"/>
      <c r="R13" s="270">
        <v>1831</v>
      </c>
      <c r="S13" s="88">
        <v>1760</v>
      </c>
      <c r="T13" s="88">
        <f t="shared" si="4"/>
        <v>-71</v>
      </c>
      <c r="U13" s="82"/>
      <c r="V13" s="270">
        <v>2056</v>
      </c>
      <c r="W13" s="158">
        <v>1797</v>
      </c>
      <c r="X13" s="103">
        <f t="shared" si="5"/>
        <v>-259</v>
      </c>
      <c r="Z13" s="97">
        <f>RANK(P13,$P$4:$P$28,1)+COUNTIF($P$4:P13,P13)-1</f>
        <v>22</v>
      </c>
      <c r="AA13" s="100" t="str">
        <f>INDEX(C4:P28,MATCH(10,Z4:Z28,0),1)</f>
        <v>dębicki</v>
      </c>
      <c r="AB13" s="88">
        <f>INDEX(C4:P28,MATCH(10,Z4:Z28,0),14)</f>
        <v>-178</v>
      </c>
      <c r="AC13" s="170"/>
      <c r="AD13" s="97">
        <f>RANK(T13,$T$4:$T$28,1)+COUNTIF($T$4:T13,T13)-1</f>
        <v>16</v>
      </c>
      <c r="AE13" s="100" t="str">
        <f>INDEX(C4:T28,MATCH(10,AD4:AD28,0),1)</f>
        <v>łańcucki</v>
      </c>
      <c r="AF13" s="88">
        <f>INDEX(C4:T28,MATCH(10,AD4:AD28,0),18)</f>
        <v>-216</v>
      </c>
      <c r="AG13" s="120"/>
      <c r="AH13" s="174">
        <v>10</v>
      </c>
      <c r="AI13" s="175">
        <f t="shared" si="3"/>
        <v>6</v>
      </c>
    </row>
    <row r="14" spans="2:35" x14ac:dyDescent="0.2">
      <c r="B14" s="174">
        <v>11</v>
      </c>
      <c r="C14" s="123" t="s">
        <v>10</v>
      </c>
      <c r="D14" s="110">
        <v>1970</v>
      </c>
      <c r="E14" s="94">
        <v>1766</v>
      </c>
      <c r="F14" s="152">
        <f t="shared" si="0"/>
        <v>-204</v>
      </c>
      <c r="G14" s="112"/>
      <c r="H14" s="89">
        <v>571</v>
      </c>
      <c r="I14" s="88">
        <v>532</v>
      </c>
      <c r="J14" s="103">
        <f t="shared" si="1"/>
        <v>-39</v>
      </c>
      <c r="K14" s="115"/>
      <c r="L14" s="89">
        <v>320</v>
      </c>
      <c r="M14" s="88">
        <v>201</v>
      </c>
      <c r="N14" s="103">
        <f t="shared" si="2"/>
        <v>-119</v>
      </c>
      <c r="O14" s="115"/>
      <c r="P14" s="97">
        <f t="shared" si="6"/>
        <v>-362</v>
      </c>
      <c r="Q14" s="119"/>
      <c r="R14" s="270">
        <v>2629</v>
      </c>
      <c r="S14" s="88">
        <v>2413</v>
      </c>
      <c r="T14" s="88">
        <f t="shared" si="4"/>
        <v>-216</v>
      </c>
      <c r="U14" s="82"/>
      <c r="V14" s="270">
        <v>3297</v>
      </c>
      <c r="W14" s="158">
        <v>2583</v>
      </c>
      <c r="X14" s="103">
        <f t="shared" si="5"/>
        <v>-714</v>
      </c>
      <c r="Z14" s="97">
        <f>RANK(P14,$P$4:$P$28,1)+COUNTIF($P$4:P14,P14)-1</f>
        <v>4</v>
      </c>
      <c r="AA14" s="100" t="str">
        <f>INDEX(C4:P28,MATCH(11,Z4:Z28,0),1)</f>
        <v>Przemyśl</v>
      </c>
      <c r="AB14" s="88">
        <f>INDEX(C4:P28,MATCH(11,Z4:Z28,0),14)</f>
        <v>-160</v>
      </c>
      <c r="AC14" s="170"/>
      <c r="AD14" s="97">
        <f>RANK(T14,$T$4:$T$28,1)+COUNTIF($T$4:T14,T14)-1</f>
        <v>10</v>
      </c>
      <c r="AE14" s="100" t="str">
        <f>INDEX(C4:T28,MATCH(11,AD4:AD28,0),1)</f>
        <v>Przemyśl</v>
      </c>
      <c r="AF14" s="88">
        <f>INDEX(C4:T28,MATCH(11,AD4:AD28,0),18)</f>
        <v>-180</v>
      </c>
      <c r="AG14" s="120"/>
      <c r="AH14" s="174">
        <v>11</v>
      </c>
      <c r="AI14" s="175">
        <f t="shared" si="3"/>
        <v>-6</v>
      </c>
    </row>
    <row r="15" spans="2:35" x14ac:dyDescent="0.2">
      <c r="B15" s="174">
        <v>12</v>
      </c>
      <c r="C15" s="123" t="s">
        <v>11</v>
      </c>
      <c r="D15" s="110">
        <v>2626</v>
      </c>
      <c r="E15" s="94">
        <v>2579</v>
      </c>
      <c r="F15" s="152">
        <f t="shared" si="0"/>
        <v>-47</v>
      </c>
      <c r="G15" s="112"/>
      <c r="H15" s="89">
        <v>731</v>
      </c>
      <c r="I15" s="88">
        <v>520</v>
      </c>
      <c r="J15" s="103">
        <f t="shared" si="1"/>
        <v>-211</v>
      </c>
      <c r="K15" s="115"/>
      <c r="L15" s="89">
        <v>685</v>
      </c>
      <c r="M15" s="88">
        <v>319</v>
      </c>
      <c r="N15" s="103">
        <f t="shared" si="2"/>
        <v>-366</v>
      </c>
      <c r="O15" s="115"/>
      <c r="P15" s="97">
        <f t="shared" si="6"/>
        <v>-624</v>
      </c>
      <c r="Q15" s="119"/>
      <c r="R15" s="270">
        <v>2517</v>
      </c>
      <c r="S15" s="88">
        <v>2942</v>
      </c>
      <c r="T15" s="88">
        <f t="shared" si="4"/>
        <v>425</v>
      </c>
      <c r="U15" s="82"/>
      <c r="V15" s="270">
        <v>2900</v>
      </c>
      <c r="W15" s="158">
        <v>2542</v>
      </c>
      <c r="X15" s="103">
        <f t="shared" si="5"/>
        <v>-358</v>
      </c>
      <c r="Z15" s="97">
        <f>RANK(P15,$P$4:$P$28,1)+COUNTIF($P$4:P15,P15)-1</f>
        <v>1</v>
      </c>
      <c r="AA15" s="100" t="str">
        <f>INDEX(C4:P28,MATCH(12,Z4:Z28,0),1)</f>
        <v>przemyski</v>
      </c>
      <c r="AB15" s="88">
        <f>INDEX(C4:P28,MATCH(12,Z4:Z28,0),14)</f>
        <v>-119</v>
      </c>
      <c r="AC15" s="170"/>
      <c r="AD15" s="171">
        <f>RANK(T15,$T$4:$T$28,1)+COUNTIF($T$4:T15,T15)-1</f>
        <v>25</v>
      </c>
      <c r="AE15" s="100" t="str">
        <f>INDEX(C4:T28,MATCH(12,AD4:AD28,0),1)</f>
        <v>niżański</v>
      </c>
      <c r="AF15" s="88">
        <f>INDEX(C4:T28,MATCH(12,AD4:AD28,0),18)</f>
        <v>-151</v>
      </c>
      <c r="AG15" s="120"/>
      <c r="AH15" s="174">
        <v>12</v>
      </c>
      <c r="AI15" s="175">
        <f t="shared" si="3"/>
        <v>-24</v>
      </c>
    </row>
    <row r="16" spans="2:35" x14ac:dyDescent="0.2">
      <c r="B16" s="174">
        <v>13</v>
      </c>
      <c r="C16" s="123" t="s">
        <v>12</v>
      </c>
      <c r="D16" s="110">
        <v>1311</v>
      </c>
      <c r="E16" s="94">
        <v>1370</v>
      </c>
      <c r="F16" s="152">
        <f t="shared" si="0"/>
        <v>59</v>
      </c>
      <c r="G16" s="112"/>
      <c r="H16" s="89">
        <v>647</v>
      </c>
      <c r="I16" s="88">
        <v>585</v>
      </c>
      <c r="J16" s="103">
        <f t="shared" si="1"/>
        <v>-62</v>
      </c>
      <c r="K16" s="115"/>
      <c r="L16" s="89">
        <v>385</v>
      </c>
      <c r="M16" s="88">
        <v>287</v>
      </c>
      <c r="N16" s="103">
        <f t="shared" si="2"/>
        <v>-98</v>
      </c>
      <c r="O16" s="115"/>
      <c r="P16" s="97">
        <f t="shared" si="6"/>
        <v>-101</v>
      </c>
      <c r="Q16" s="119"/>
      <c r="R16" s="270">
        <v>3116</v>
      </c>
      <c r="S16" s="88">
        <v>2965</v>
      </c>
      <c r="T16" s="88">
        <f t="shared" si="4"/>
        <v>-151</v>
      </c>
      <c r="U16" s="82"/>
      <c r="V16" s="270">
        <v>3334</v>
      </c>
      <c r="W16" s="158">
        <v>3043</v>
      </c>
      <c r="X16" s="103">
        <f t="shared" si="5"/>
        <v>-291</v>
      </c>
      <c r="Z16" s="97">
        <f>RANK(P16,$P$4:$P$28,1)+COUNTIF($P$4:P16,P16)-1</f>
        <v>14</v>
      </c>
      <c r="AA16" s="100" t="str">
        <f>INDEX(C4:P28,MATCH(13,Z4:Z28,0),1)</f>
        <v>tarnobrzeski</v>
      </c>
      <c r="AB16" s="88">
        <f>INDEX(C4:P28,MATCH(13,Z4:Z28,0),14)</f>
        <v>-108</v>
      </c>
      <c r="AC16" s="170"/>
      <c r="AD16" s="171">
        <f>RANK(T16,$T$4:$T$28,1)+COUNTIF($T$4:T16,T16)-1</f>
        <v>12</v>
      </c>
      <c r="AE16" s="100" t="str">
        <f>INDEX(C4:T28,MATCH(13,AD4:AD28,0),1)</f>
        <v>kolbuszowski</v>
      </c>
      <c r="AF16" s="88">
        <f>INDEX(C4:T28,MATCH(13,AD4:AD28,0),18)</f>
        <v>-99</v>
      </c>
      <c r="AG16" s="120"/>
      <c r="AH16" s="174">
        <v>13</v>
      </c>
      <c r="AI16" s="177">
        <f t="shared" si="3"/>
        <v>2</v>
      </c>
    </row>
    <row r="17" spans="2:35" x14ac:dyDescent="0.2">
      <c r="B17" s="174">
        <v>14</v>
      </c>
      <c r="C17" s="123" t="s">
        <v>13</v>
      </c>
      <c r="D17" s="110">
        <v>1330</v>
      </c>
      <c r="E17" s="94">
        <v>1333</v>
      </c>
      <c r="F17" s="152">
        <f t="shared" si="0"/>
        <v>3</v>
      </c>
      <c r="G17" s="112"/>
      <c r="H17" s="89">
        <v>562</v>
      </c>
      <c r="I17" s="88">
        <v>463</v>
      </c>
      <c r="J17" s="103">
        <f t="shared" si="1"/>
        <v>-99</v>
      </c>
      <c r="K17" s="115"/>
      <c r="L17" s="89">
        <v>124</v>
      </c>
      <c r="M17" s="88">
        <v>101</v>
      </c>
      <c r="N17" s="103">
        <f t="shared" si="2"/>
        <v>-23</v>
      </c>
      <c r="O17" s="115"/>
      <c r="P17" s="97">
        <f t="shared" si="6"/>
        <v>-119</v>
      </c>
      <c r="Q17" s="119"/>
      <c r="R17" s="270">
        <v>3084</v>
      </c>
      <c r="S17" s="88">
        <v>2839</v>
      </c>
      <c r="T17" s="88">
        <f t="shared" si="4"/>
        <v>-245</v>
      </c>
      <c r="U17" s="82"/>
      <c r="V17" s="270">
        <v>3711</v>
      </c>
      <c r="W17" s="158">
        <v>2944</v>
      </c>
      <c r="X17" s="103">
        <f t="shared" si="5"/>
        <v>-767</v>
      </c>
      <c r="Z17" s="97">
        <f>RANK(P17,$P$4:$P$28,1)+COUNTIF($P$4:P17,P17)-1</f>
        <v>12</v>
      </c>
      <c r="AA17" s="100" t="str">
        <f>INDEX(C4:P28,MATCH(14,Z4:Z28,0),1)</f>
        <v>niżański</v>
      </c>
      <c r="AB17" s="88">
        <f>INDEX(C4:P28,MATCH(14,Z4:Z28,0),14)</f>
        <v>-101</v>
      </c>
      <c r="AC17" s="170"/>
      <c r="AD17" s="171">
        <f>RANK(T17,$T$4:$T$28,1)+COUNTIF($T$4:T17,T17)-1</f>
        <v>8</v>
      </c>
      <c r="AE17" s="100" t="str">
        <f>INDEX(C4:T28,MATCH(14,AD4:AD28,0),1)</f>
        <v>leski</v>
      </c>
      <c r="AF17" s="88">
        <f>INDEX(C4:T28,MATCH(14,AD4:AD28,0),18)</f>
        <v>-80</v>
      </c>
      <c r="AG17" s="120"/>
      <c r="AH17" s="174">
        <v>14</v>
      </c>
      <c r="AI17" s="175">
        <f t="shared" si="3"/>
        <v>4</v>
      </c>
    </row>
    <row r="18" spans="2:35" x14ac:dyDescent="0.2">
      <c r="B18" s="174">
        <v>15</v>
      </c>
      <c r="C18" s="123" t="s">
        <v>14</v>
      </c>
      <c r="D18" s="110">
        <v>2008</v>
      </c>
      <c r="E18" s="94">
        <v>2068</v>
      </c>
      <c r="F18" s="152">
        <f t="shared" si="0"/>
        <v>60</v>
      </c>
      <c r="G18" s="112"/>
      <c r="H18" s="89">
        <v>709</v>
      </c>
      <c r="I18" s="88">
        <v>766</v>
      </c>
      <c r="J18" s="103">
        <f t="shared" si="1"/>
        <v>57</v>
      </c>
      <c r="K18" s="115"/>
      <c r="L18" s="89">
        <v>591</v>
      </c>
      <c r="M18" s="88">
        <v>467</v>
      </c>
      <c r="N18" s="103">
        <f t="shared" si="2"/>
        <v>-124</v>
      </c>
      <c r="O18" s="115"/>
      <c r="P18" s="97">
        <f t="shared" si="6"/>
        <v>-7</v>
      </c>
      <c r="Q18" s="119"/>
      <c r="R18" s="270">
        <v>3654</v>
      </c>
      <c r="S18" s="88">
        <v>3254</v>
      </c>
      <c r="T18" s="88">
        <f t="shared" si="4"/>
        <v>-400</v>
      </c>
      <c r="U18" s="82"/>
      <c r="V18" s="270">
        <v>3851</v>
      </c>
      <c r="W18" s="158">
        <v>3482</v>
      </c>
      <c r="X18" s="103">
        <f t="shared" si="5"/>
        <v>-369</v>
      </c>
      <c r="Z18" s="97">
        <f>RANK(P18,$P$4:$P$28,1)+COUNTIF($P$4:P18,P18)-1</f>
        <v>20</v>
      </c>
      <c r="AA18" s="100" t="str">
        <f>INDEX(C4:P28,MATCH(15,Z4:Z28,0),1)</f>
        <v>kolbuszowski</v>
      </c>
      <c r="AB18" s="88">
        <f>INDEX(C4:P28,MATCH(15,Z4:Z28,0),14)</f>
        <v>-69</v>
      </c>
      <c r="AC18" s="170"/>
      <c r="AD18" s="171">
        <f>RANK(T18,$T$4:$T$28,1)+COUNTIF($T$4:T18,T18)-1</f>
        <v>2</v>
      </c>
      <c r="AE18" s="100" t="str">
        <f>INDEX(C4:T28,MATCH(15,AD4:AD28,0),1)</f>
        <v>bieszczadzki</v>
      </c>
      <c r="AF18" s="88">
        <f>INDEX(C4:T28,MATCH(15,AD4:AD28,0),18)</f>
        <v>-77</v>
      </c>
      <c r="AG18" s="120"/>
      <c r="AH18" s="174">
        <v>15</v>
      </c>
      <c r="AI18" s="175">
        <f t="shared" si="3"/>
        <v>18</v>
      </c>
    </row>
    <row r="19" spans="2:35" ht="12" customHeight="1" x14ac:dyDescent="0.2">
      <c r="B19" s="174">
        <v>16</v>
      </c>
      <c r="C19" s="123" t="s">
        <v>15</v>
      </c>
      <c r="D19" s="110">
        <v>1879</v>
      </c>
      <c r="E19" s="94">
        <v>1770</v>
      </c>
      <c r="F19" s="152">
        <f t="shared" si="0"/>
        <v>-109</v>
      </c>
      <c r="G19" s="112"/>
      <c r="H19" s="89">
        <v>507</v>
      </c>
      <c r="I19" s="88">
        <v>455</v>
      </c>
      <c r="J19" s="103">
        <f t="shared" si="1"/>
        <v>-52</v>
      </c>
      <c r="K19" s="115"/>
      <c r="L19" s="89">
        <v>333</v>
      </c>
      <c r="M19" s="88">
        <v>216</v>
      </c>
      <c r="N19" s="103">
        <f t="shared" si="2"/>
        <v>-117</v>
      </c>
      <c r="O19" s="115"/>
      <c r="P19" s="97">
        <f t="shared" si="6"/>
        <v>-278</v>
      </c>
      <c r="Q19" s="119"/>
      <c r="R19" s="270">
        <v>2769</v>
      </c>
      <c r="S19" s="88">
        <v>2495</v>
      </c>
      <c r="T19" s="88">
        <f t="shared" si="4"/>
        <v>-274</v>
      </c>
      <c r="U19" s="82"/>
      <c r="V19" s="270">
        <v>3190</v>
      </c>
      <c r="W19" s="158">
        <v>2764</v>
      </c>
      <c r="X19" s="103">
        <f t="shared" si="5"/>
        <v>-426</v>
      </c>
      <c r="Z19" s="97">
        <f>RANK(P19,$P$4:$P$28,1)+COUNTIF($P$4:P19,P19)-1</f>
        <v>8</v>
      </c>
      <c r="AA19" s="100" t="str">
        <f>INDEX(C4:P28,MATCH(16,Z4:Z28,0),1)</f>
        <v>leski</v>
      </c>
      <c r="AB19" s="88">
        <f>INDEX(C4:P28,MATCH(16,Z4:Z28,0),14)</f>
        <v>-68</v>
      </c>
      <c r="AC19" s="170"/>
      <c r="AD19" s="171">
        <f>RANK(T19,$T$4:$T$28,1)+COUNTIF($T$4:T19,T19)-1</f>
        <v>6</v>
      </c>
      <c r="AE19" s="100" t="str">
        <f>INDEX(C4:T28,MATCH(16,AD4:AD28,0),1)</f>
        <v>lubaczowski</v>
      </c>
      <c r="AF19" s="88">
        <f>INDEX(C4:T28,MATCH(16,AD4:AD28,0),18)</f>
        <v>-71</v>
      </c>
      <c r="AG19" s="120"/>
      <c r="AH19" s="174">
        <v>16</v>
      </c>
      <c r="AI19" s="175">
        <f t="shared" si="3"/>
        <v>2</v>
      </c>
    </row>
    <row r="20" spans="2:35" x14ac:dyDescent="0.2">
      <c r="B20" s="174">
        <v>17</v>
      </c>
      <c r="C20" s="123" t="s">
        <v>16</v>
      </c>
      <c r="D20" s="110">
        <v>3036</v>
      </c>
      <c r="E20" s="94">
        <v>2882</v>
      </c>
      <c r="F20" s="152">
        <f t="shared" si="0"/>
        <v>-154</v>
      </c>
      <c r="G20" s="112"/>
      <c r="H20" s="89">
        <v>532</v>
      </c>
      <c r="I20" s="88">
        <v>454</v>
      </c>
      <c r="J20" s="103">
        <f t="shared" si="1"/>
        <v>-78</v>
      </c>
      <c r="K20" s="115"/>
      <c r="L20" s="89">
        <v>312</v>
      </c>
      <c r="M20" s="88">
        <v>205</v>
      </c>
      <c r="N20" s="103">
        <f t="shared" si="2"/>
        <v>-107</v>
      </c>
      <c r="O20" s="115"/>
      <c r="P20" s="97">
        <f t="shared" si="6"/>
        <v>-339</v>
      </c>
      <c r="Q20" s="119"/>
      <c r="R20" s="270">
        <v>4962</v>
      </c>
      <c r="S20" s="88">
        <v>4647</v>
      </c>
      <c r="T20" s="88">
        <f t="shared" si="4"/>
        <v>-315</v>
      </c>
      <c r="U20" s="82"/>
      <c r="V20" s="270">
        <v>5678</v>
      </c>
      <c r="W20" s="158">
        <v>4933</v>
      </c>
      <c r="X20" s="103">
        <f t="shared" si="5"/>
        <v>-745</v>
      </c>
      <c r="Z20" s="97">
        <f>RANK(P20,$P$4:$P$28,1)+COUNTIF($P$4:P20,P20)-1</f>
        <v>6</v>
      </c>
      <c r="AA20" s="100" t="str">
        <f>INDEX(C4:P28,MATCH(17,Z4:Z28,0),1)</f>
        <v>brzozowski</v>
      </c>
      <c r="AB20" s="88">
        <f>INDEX(C4:P28,MATCH(17,Z4:Z28,0),14)</f>
        <v>-42</v>
      </c>
      <c r="AC20" s="170"/>
      <c r="AD20" s="171">
        <f>RANK(T20,$T$4:$T$28,1)+COUNTIF($T$4:T20,T20)-1</f>
        <v>4</v>
      </c>
      <c r="AE20" s="100" t="str">
        <f>INDEX(C4:T28,MATCH(17,AD4:AD28,0),1)</f>
        <v>dębicki</v>
      </c>
      <c r="AF20" s="88">
        <f>INDEX(C4:T28,MATCH(17,AD4:AD28,0),18)</f>
        <v>-35</v>
      </c>
      <c r="AG20" s="120"/>
      <c r="AH20" s="174">
        <v>17</v>
      </c>
      <c r="AI20" s="177">
        <f t="shared" si="3"/>
        <v>2</v>
      </c>
    </row>
    <row r="21" spans="2:35" x14ac:dyDescent="0.2">
      <c r="B21" s="174">
        <v>18</v>
      </c>
      <c r="C21" s="123" t="s">
        <v>17</v>
      </c>
      <c r="D21" s="110">
        <v>1414</v>
      </c>
      <c r="E21" s="94">
        <v>1569</v>
      </c>
      <c r="F21" s="152">
        <f t="shared" si="0"/>
        <v>155</v>
      </c>
      <c r="G21" s="112"/>
      <c r="H21" s="89">
        <v>506</v>
      </c>
      <c r="I21" s="88">
        <v>459</v>
      </c>
      <c r="J21" s="103">
        <f t="shared" si="1"/>
        <v>-47</v>
      </c>
      <c r="K21" s="115"/>
      <c r="L21" s="89">
        <v>187</v>
      </c>
      <c r="M21" s="88">
        <v>169</v>
      </c>
      <c r="N21" s="103">
        <f t="shared" si="2"/>
        <v>-18</v>
      </c>
      <c r="O21" s="115"/>
      <c r="P21" s="97">
        <f t="shared" si="6"/>
        <v>90</v>
      </c>
      <c r="Q21" s="119"/>
      <c r="R21" s="270">
        <v>2644</v>
      </c>
      <c r="S21" s="88">
        <v>2700</v>
      </c>
      <c r="T21" s="88">
        <f t="shared" si="4"/>
        <v>56</v>
      </c>
      <c r="U21" s="82"/>
      <c r="V21" s="270">
        <v>2488</v>
      </c>
      <c r="W21" s="158">
        <v>2632</v>
      </c>
      <c r="X21" s="103">
        <f t="shared" si="5"/>
        <v>144</v>
      </c>
      <c r="Z21" s="97">
        <f>RANK(P21,$P$4:$P$28,1)+COUNTIF($P$4:P21,P21)-1</f>
        <v>23</v>
      </c>
      <c r="AA21" s="100" t="str">
        <f>INDEX(C4:P28,MATCH(18,Z4:Z28,0),1)</f>
        <v>bieszczadzki</v>
      </c>
      <c r="AB21" s="88">
        <f>INDEX(C4:P28,MATCH(18,Z4:Z28,0),14)</f>
        <v>-25</v>
      </c>
      <c r="AC21" s="170"/>
      <c r="AD21" s="171">
        <f>RANK(T21,$T$4:$T$28,1)+COUNTIF($T$4:T21,T21)-1</f>
        <v>22</v>
      </c>
      <c r="AE21" s="100" t="str">
        <f>INDEX(C4:T28,MATCH(18,AD4:AD28,0),1)</f>
        <v>tarnobrzeski</v>
      </c>
      <c r="AF21" s="88">
        <f>INDEX(C4:T28,MATCH(18,AD4:AD28,0),18)</f>
        <v>-29</v>
      </c>
      <c r="AG21" s="120"/>
      <c r="AH21" s="174">
        <v>18</v>
      </c>
      <c r="AI21" s="175">
        <f t="shared" si="3"/>
        <v>1</v>
      </c>
    </row>
    <row r="22" spans="2:35" x14ac:dyDescent="0.2">
      <c r="B22" s="174">
        <v>19</v>
      </c>
      <c r="C22" s="123" t="s">
        <v>18</v>
      </c>
      <c r="D22" s="110">
        <v>1713</v>
      </c>
      <c r="E22" s="94">
        <v>1663</v>
      </c>
      <c r="F22" s="152">
        <f t="shared" si="0"/>
        <v>-50</v>
      </c>
      <c r="G22" s="112"/>
      <c r="H22" s="89">
        <v>447</v>
      </c>
      <c r="I22" s="88">
        <v>288</v>
      </c>
      <c r="J22" s="103">
        <f t="shared" si="1"/>
        <v>-159</v>
      </c>
      <c r="K22" s="115"/>
      <c r="L22" s="89">
        <v>344</v>
      </c>
      <c r="M22" s="88">
        <v>178</v>
      </c>
      <c r="N22" s="103">
        <f t="shared" si="2"/>
        <v>-166</v>
      </c>
      <c r="O22" s="115"/>
      <c r="P22" s="97">
        <f t="shared" si="6"/>
        <v>-375</v>
      </c>
      <c r="Q22" s="119"/>
      <c r="R22" s="270">
        <v>1841</v>
      </c>
      <c r="S22" s="88">
        <v>1918</v>
      </c>
      <c r="T22" s="88">
        <f t="shared" si="4"/>
        <v>77</v>
      </c>
      <c r="U22" s="82"/>
      <c r="V22" s="270">
        <v>2204</v>
      </c>
      <c r="W22" s="158">
        <v>1828</v>
      </c>
      <c r="X22" s="103">
        <f t="shared" si="5"/>
        <v>-376</v>
      </c>
      <c r="Z22" s="97">
        <f>RANK(P22,$P$4:$P$28,1)+COUNTIF($P$4:P22,P22)-1</f>
        <v>3</v>
      </c>
      <c r="AA22" s="100" t="str">
        <f>INDEX(C4:P28,MATCH(19,Z4:Z28,0),1)</f>
        <v>strzyżowski</v>
      </c>
      <c r="AB22" s="88">
        <f>INDEX(C4:P28,MATCH(19,Z4:Z28,0),14)</f>
        <v>-9</v>
      </c>
      <c r="AC22" s="170"/>
      <c r="AD22" s="171">
        <f>RANK(T22,$T$4:$T$28,1)+COUNTIF($T$4:T22,T22)-1</f>
        <v>23</v>
      </c>
      <c r="AE22" s="100" t="str">
        <f>INDEX(C4:T28,MATCH(19,AD4:AD28,0),1)</f>
        <v>Tarnobrzeg</v>
      </c>
      <c r="AF22" s="88">
        <f>INDEX(C4:T28,MATCH(19,AD4:AD28,0),18)</f>
        <v>-19</v>
      </c>
      <c r="AG22" s="120"/>
      <c r="AH22" s="174">
        <v>19</v>
      </c>
      <c r="AI22" s="175">
        <f t="shared" si="3"/>
        <v>-20</v>
      </c>
    </row>
    <row r="23" spans="2:35" x14ac:dyDescent="0.2">
      <c r="B23" s="174">
        <v>20</v>
      </c>
      <c r="C23" s="123" t="s">
        <v>19</v>
      </c>
      <c r="D23" s="110">
        <v>1814</v>
      </c>
      <c r="E23" s="94">
        <v>1801</v>
      </c>
      <c r="F23" s="152">
        <f t="shared" si="0"/>
        <v>-13</v>
      </c>
      <c r="G23" s="112"/>
      <c r="H23" s="89">
        <v>473</v>
      </c>
      <c r="I23" s="88">
        <v>540</v>
      </c>
      <c r="J23" s="103">
        <f t="shared" si="1"/>
        <v>67</v>
      </c>
      <c r="K23" s="115"/>
      <c r="L23" s="89">
        <v>648</v>
      </c>
      <c r="M23" s="88">
        <v>585</v>
      </c>
      <c r="N23" s="103">
        <f t="shared" si="2"/>
        <v>-63</v>
      </c>
      <c r="O23" s="115"/>
      <c r="P23" s="97">
        <f t="shared" si="6"/>
        <v>-9</v>
      </c>
      <c r="Q23" s="119"/>
      <c r="R23" s="270">
        <v>3266</v>
      </c>
      <c r="S23" s="88">
        <v>2999</v>
      </c>
      <c r="T23" s="88">
        <f t="shared" si="4"/>
        <v>-267</v>
      </c>
      <c r="U23" s="82"/>
      <c r="V23" s="270">
        <v>3535</v>
      </c>
      <c r="W23" s="158">
        <v>3198</v>
      </c>
      <c r="X23" s="103">
        <f t="shared" si="5"/>
        <v>-337</v>
      </c>
      <c r="Z23" s="97">
        <f>RANK(P23,$P$4:$P$28,1)+COUNTIF($P$4:P23,P23)-1</f>
        <v>19</v>
      </c>
      <c r="AA23" s="100" t="str">
        <f>INDEX(C4:P28,MATCH(20,Z4:Z28,0),1)</f>
        <v>przeworski</v>
      </c>
      <c r="AB23" s="88">
        <f>INDEX(C4:P28,MATCH(20,Z4:Z28,0),14)</f>
        <v>-7</v>
      </c>
      <c r="AC23" s="170"/>
      <c r="AD23" s="171">
        <f>RANK(T23,$T$4:$T$28,1)+COUNTIF($T$4:T23,T23)-1</f>
        <v>7</v>
      </c>
      <c r="AE23" s="100" t="str">
        <f>INDEX(C4:T28,MATCH(20,AD4:AD28,0),1)</f>
        <v>jasielski</v>
      </c>
      <c r="AF23" s="88">
        <f>INDEX(C4:T28,MATCH(20,AD4:AD28,0),18)</f>
        <v>42</v>
      </c>
      <c r="AG23" s="120"/>
      <c r="AH23" s="174">
        <v>20</v>
      </c>
      <c r="AI23" s="175">
        <f t="shared" si="3"/>
        <v>12</v>
      </c>
    </row>
    <row r="24" spans="2:35" ht="12" thickBot="1" x14ac:dyDescent="0.25">
      <c r="B24" s="174">
        <v>21</v>
      </c>
      <c r="C24" s="124" t="s">
        <v>102</v>
      </c>
      <c r="D24" s="111">
        <v>1012</v>
      </c>
      <c r="E24" s="116">
        <v>955</v>
      </c>
      <c r="F24" s="153">
        <f t="shared" si="0"/>
        <v>-57</v>
      </c>
      <c r="G24" s="112"/>
      <c r="H24" s="92">
        <v>334</v>
      </c>
      <c r="I24" s="90">
        <v>326</v>
      </c>
      <c r="J24" s="105">
        <f t="shared" si="1"/>
        <v>-8</v>
      </c>
      <c r="K24" s="115"/>
      <c r="L24" s="92">
        <v>185</v>
      </c>
      <c r="M24" s="90">
        <v>142</v>
      </c>
      <c r="N24" s="105">
        <f t="shared" si="2"/>
        <v>-43</v>
      </c>
      <c r="O24" s="115"/>
      <c r="P24" s="127">
        <f t="shared" si="6"/>
        <v>-108</v>
      </c>
      <c r="Q24" s="119"/>
      <c r="R24" s="271">
        <v>1284</v>
      </c>
      <c r="S24" s="90">
        <v>1255</v>
      </c>
      <c r="T24" s="91">
        <f t="shared" si="4"/>
        <v>-29</v>
      </c>
      <c r="U24" s="82"/>
      <c r="V24" s="271">
        <v>1610</v>
      </c>
      <c r="W24" s="164">
        <v>1271</v>
      </c>
      <c r="X24" s="104">
        <f t="shared" si="5"/>
        <v>-339</v>
      </c>
      <c r="Z24" s="168">
        <f>RANK(P24,$P$4:$P$28,1)+COUNTIF($P$4:P24,P24)-1</f>
        <v>13</v>
      </c>
      <c r="AA24" s="128" t="str">
        <f>INDEX(C4:P28,MATCH(21,Z4:Z28,0),1)</f>
        <v>Krosno</v>
      </c>
      <c r="AB24" s="91">
        <f>INDEX(C4:P28,MATCH(21,Z4:Z28,0),14)</f>
        <v>30</v>
      </c>
      <c r="AC24" s="170"/>
      <c r="AD24" s="172">
        <f>RANK(T24,$T$4:$T$28,1)+COUNTIF($T$4:T24,T24)-1</f>
        <v>18</v>
      </c>
      <c r="AE24" s="128" t="str">
        <f>INDEX(C4:T28,MATCH(21,AD4:AD28,0),1)</f>
        <v>Krosno</v>
      </c>
      <c r="AF24" s="91">
        <f>INDEX(C4:T28,MATCH(21,AD4:AD28,0),18)</f>
        <v>54</v>
      </c>
      <c r="AG24" s="120"/>
      <c r="AH24" s="174">
        <v>21</v>
      </c>
      <c r="AI24" s="175">
        <f t="shared" si="3"/>
        <v>-5</v>
      </c>
    </row>
    <row r="25" spans="2:35" x14ac:dyDescent="0.2">
      <c r="B25" s="174">
        <v>22</v>
      </c>
      <c r="C25" s="125" t="s">
        <v>21</v>
      </c>
      <c r="D25" s="110">
        <v>535</v>
      </c>
      <c r="E25" s="95">
        <v>574</v>
      </c>
      <c r="F25" s="154">
        <f t="shared" si="0"/>
        <v>39</v>
      </c>
      <c r="G25" s="113"/>
      <c r="H25" s="89">
        <v>129</v>
      </c>
      <c r="I25" s="88">
        <v>133</v>
      </c>
      <c r="J25" s="103">
        <f t="shared" si="1"/>
        <v>4</v>
      </c>
      <c r="K25" s="115"/>
      <c r="L25" s="89">
        <v>63</v>
      </c>
      <c r="M25" s="88">
        <v>50</v>
      </c>
      <c r="N25" s="103">
        <f t="shared" si="2"/>
        <v>-13</v>
      </c>
      <c r="O25" s="115"/>
      <c r="P25" s="97">
        <f t="shared" si="6"/>
        <v>30</v>
      </c>
      <c r="Q25" s="119"/>
      <c r="R25" s="270">
        <v>720</v>
      </c>
      <c r="S25" s="88">
        <v>774</v>
      </c>
      <c r="T25" s="86">
        <f t="shared" si="4"/>
        <v>54</v>
      </c>
      <c r="U25" s="82"/>
      <c r="V25" s="270">
        <v>701</v>
      </c>
      <c r="W25" s="158">
        <v>699</v>
      </c>
      <c r="X25" s="157">
        <f t="shared" si="5"/>
        <v>-2</v>
      </c>
      <c r="Z25" s="96">
        <f>RANK(P25,$P$4:$P$28,1)+COUNTIF($P$4:P25,P25)-1</f>
        <v>21</v>
      </c>
      <c r="AA25" s="99" t="str">
        <f>INDEX(C4:P28,MATCH(22,Z4:Z28,0),1)</f>
        <v>lubaczowski</v>
      </c>
      <c r="AB25" s="86">
        <f>INDEX(C4:P28,MATCH(22,Z4:Z28,0),14)</f>
        <v>38</v>
      </c>
      <c r="AC25" s="170"/>
      <c r="AD25" s="96">
        <f>RANK(T25,$T$4:$T$28,1)+COUNTIF($T$4:T25,T25)-1</f>
        <v>21</v>
      </c>
      <c r="AE25" s="99" t="str">
        <f>INDEX(C4:T28,MATCH(22,AD4:AD28,0),1)</f>
        <v>sanocki</v>
      </c>
      <c r="AF25" s="86">
        <f>INDEX(C4:T28,MATCH(22,AD4:AD28,0),18)</f>
        <v>56</v>
      </c>
      <c r="AG25" s="120"/>
      <c r="AH25" s="174">
        <v>22</v>
      </c>
      <c r="AI25" s="175">
        <f t="shared" si="3"/>
        <v>0</v>
      </c>
    </row>
    <row r="26" spans="2:35" x14ac:dyDescent="0.2">
      <c r="B26" s="174">
        <v>23</v>
      </c>
      <c r="C26" s="125" t="s">
        <v>22</v>
      </c>
      <c r="D26" s="110">
        <v>1108</v>
      </c>
      <c r="E26" s="95">
        <v>986</v>
      </c>
      <c r="F26" s="154">
        <f t="shared" si="0"/>
        <v>-122</v>
      </c>
      <c r="G26" s="113"/>
      <c r="H26" s="89">
        <v>350</v>
      </c>
      <c r="I26" s="88">
        <v>330</v>
      </c>
      <c r="J26" s="103">
        <f t="shared" si="1"/>
        <v>-20</v>
      </c>
      <c r="K26" s="115"/>
      <c r="L26" s="89">
        <v>84</v>
      </c>
      <c r="M26" s="88">
        <v>66</v>
      </c>
      <c r="N26" s="103">
        <f t="shared" si="2"/>
        <v>-18</v>
      </c>
      <c r="O26" s="115"/>
      <c r="P26" s="97">
        <f t="shared" si="6"/>
        <v>-160</v>
      </c>
      <c r="Q26" s="119"/>
      <c r="R26" s="270">
        <v>2487</v>
      </c>
      <c r="S26" s="88">
        <v>2307</v>
      </c>
      <c r="T26" s="88">
        <f t="shared" si="4"/>
        <v>-180</v>
      </c>
      <c r="U26" s="82"/>
      <c r="V26" s="270">
        <v>2907</v>
      </c>
      <c r="W26" s="158">
        <v>2436</v>
      </c>
      <c r="X26" s="103">
        <f t="shared" si="5"/>
        <v>-471</v>
      </c>
      <c r="Z26" s="97">
        <f>RANK(P26,$P$4:$P$28,1)+COUNTIF($P$4:P26,P26)-1</f>
        <v>11</v>
      </c>
      <c r="AA26" s="100" t="str">
        <f>INDEX(C4:P28,MATCH(23,Z4:Z28,0),1)</f>
        <v>sanocki</v>
      </c>
      <c r="AB26" s="88">
        <f>INDEX(C4:P28,MATCH(23,Z4:Z28,0),14)</f>
        <v>90</v>
      </c>
      <c r="AC26" s="170"/>
      <c r="AD26" s="171">
        <f>RANK(T26,$T$4:$T$28,1)+COUNTIF($T$4:T26,T26)-1</f>
        <v>11</v>
      </c>
      <c r="AE26" s="100" t="str">
        <f>INDEX(C4:T28,MATCH(23,AD4:AD28,0),1)</f>
        <v>stalowowolski</v>
      </c>
      <c r="AF26" s="88">
        <f>INDEX(C4:T28,MATCH(23,AD4:AD28,0),18)</f>
        <v>77</v>
      </c>
      <c r="AG26" s="120"/>
      <c r="AH26" s="174">
        <v>23</v>
      </c>
      <c r="AI26" s="177">
        <f t="shared" si="3"/>
        <v>0</v>
      </c>
    </row>
    <row r="27" spans="2:35" x14ac:dyDescent="0.2">
      <c r="B27" s="174">
        <v>24</v>
      </c>
      <c r="C27" s="125" t="s">
        <v>23</v>
      </c>
      <c r="D27" s="110">
        <v>3596</v>
      </c>
      <c r="E27" s="95">
        <v>3315</v>
      </c>
      <c r="F27" s="154">
        <f t="shared" si="0"/>
        <v>-281</v>
      </c>
      <c r="G27" s="113"/>
      <c r="H27" s="89">
        <v>587</v>
      </c>
      <c r="I27" s="88">
        <v>514</v>
      </c>
      <c r="J27" s="103">
        <f t="shared" si="1"/>
        <v>-73</v>
      </c>
      <c r="K27" s="115"/>
      <c r="L27" s="89">
        <v>371</v>
      </c>
      <c r="M27" s="88">
        <v>254</v>
      </c>
      <c r="N27" s="103">
        <f t="shared" si="2"/>
        <v>-117</v>
      </c>
      <c r="O27" s="115"/>
      <c r="P27" s="97">
        <f t="shared" si="6"/>
        <v>-471</v>
      </c>
      <c r="Q27" s="119"/>
      <c r="R27" s="270">
        <v>5452</v>
      </c>
      <c r="S27" s="88">
        <v>5082</v>
      </c>
      <c r="T27" s="88">
        <f t="shared" si="4"/>
        <v>-370</v>
      </c>
      <c r="U27" s="82"/>
      <c r="V27" s="270">
        <v>6294</v>
      </c>
      <c r="W27" s="158">
        <v>5553</v>
      </c>
      <c r="X27" s="103">
        <f t="shared" si="5"/>
        <v>-741</v>
      </c>
      <c r="Z27" s="97">
        <f>RANK(P27,$P$4:$P$28,1)+COUNTIF($P$4:P27,P27)-1</f>
        <v>2</v>
      </c>
      <c r="AA27" s="100" t="str">
        <f>INDEX(C4:P28,MATCH(24,Z4:Z28,0),1)</f>
        <v>jasielski</v>
      </c>
      <c r="AB27" s="88">
        <f>INDEX(C4:P28,MATCH(24,Z4:Z28,0),14)</f>
        <v>93</v>
      </c>
      <c r="AC27" s="170"/>
      <c r="AD27" s="171">
        <f>RANK(T27,$T$4:$T$28,1)+COUNTIF($T$4:T27,T27)-1</f>
        <v>3</v>
      </c>
      <c r="AE27" s="100" t="str">
        <f>INDEX(C4:T28,MATCH(24,AD4:AD28,0),1)</f>
        <v>krośnieński</v>
      </c>
      <c r="AF27" s="88">
        <f>INDEX(C4:T28,MATCH(24,AD4:AD28,0),18)</f>
        <v>118</v>
      </c>
      <c r="AG27" s="120"/>
      <c r="AH27" s="174">
        <v>24</v>
      </c>
      <c r="AI27" s="175">
        <f t="shared" si="3"/>
        <v>-1</v>
      </c>
    </row>
    <row r="28" spans="2:35" ht="12" thickBot="1" x14ac:dyDescent="0.25">
      <c r="B28" s="174">
        <v>25</v>
      </c>
      <c r="C28" s="126" t="s">
        <v>24</v>
      </c>
      <c r="D28" s="111">
        <v>892</v>
      </c>
      <c r="E28" s="117">
        <v>804</v>
      </c>
      <c r="F28" s="155">
        <f t="shared" si="0"/>
        <v>-88</v>
      </c>
      <c r="G28" s="113"/>
      <c r="H28" s="92">
        <v>267</v>
      </c>
      <c r="I28" s="90">
        <v>213</v>
      </c>
      <c r="J28" s="105">
        <f t="shared" si="1"/>
        <v>-54</v>
      </c>
      <c r="K28" s="115"/>
      <c r="L28" s="92">
        <v>225</v>
      </c>
      <c r="M28" s="90">
        <v>164</v>
      </c>
      <c r="N28" s="105">
        <f t="shared" si="2"/>
        <v>-61</v>
      </c>
      <c r="O28" s="115"/>
      <c r="P28" s="127">
        <f t="shared" si="6"/>
        <v>-203</v>
      </c>
      <c r="Q28" s="119"/>
      <c r="R28" s="271">
        <v>1065</v>
      </c>
      <c r="S28" s="90">
        <v>1046</v>
      </c>
      <c r="T28" s="90">
        <f t="shared" si="4"/>
        <v>-19</v>
      </c>
      <c r="U28" s="82"/>
      <c r="V28" s="271">
        <v>1424</v>
      </c>
      <c r="W28" s="164">
        <v>1062</v>
      </c>
      <c r="X28" s="105">
        <f t="shared" si="5"/>
        <v>-362</v>
      </c>
      <c r="Z28" s="127">
        <f>RANK(P28,$P$4:$P$28,1)+COUNTIF($P$4:P28,P28)-1</f>
        <v>9</v>
      </c>
      <c r="AA28" s="101" t="str">
        <f>INDEX(C4:P28,MATCH(25,Z4:Z28,0),1)</f>
        <v>krośnieński</v>
      </c>
      <c r="AB28" s="90">
        <f>INDEX(C4:P28,MATCH(25,Z4:Z28,0),14)</f>
        <v>163</v>
      </c>
      <c r="AC28" s="170"/>
      <c r="AD28" s="173">
        <f>RANK(T28,$T$4:$T$28,1)+COUNTIF($T$4:T28,T28)-1</f>
        <v>19</v>
      </c>
      <c r="AE28" s="101" t="str">
        <f>INDEX(C4:T28,MATCH(25,AD4:AD28,0),1)</f>
        <v>mielecki</v>
      </c>
      <c r="AF28" s="90">
        <f>INDEX(C4:T28,MATCH(25,AD4:AD28,0),18)</f>
        <v>425</v>
      </c>
      <c r="AG28" s="120"/>
      <c r="AH28" s="174">
        <v>25</v>
      </c>
      <c r="AI28" s="175">
        <f t="shared" si="3"/>
        <v>-10</v>
      </c>
    </row>
    <row r="29" spans="2:35" ht="12" thickBot="1" x14ac:dyDescent="0.25">
      <c r="C29" s="129" t="s">
        <v>103</v>
      </c>
      <c r="D29" s="130">
        <f>SUM(D4:D28)</f>
        <v>41313</v>
      </c>
      <c r="E29" s="134">
        <f>SUM(E4:E28)</f>
        <v>40658</v>
      </c>
      <c r="F29" s="135">
        <f t="shared" ref="F29:S29" si="7">SUM(F4:F28)</f>
        <v>-655</v>
      </c>
      <c r="G29" s="115"/>
      <c r="H29" s="132">
        <f t="shared" si="7"/>
        <v>11966</v>
      </c>
      <c r="I29" s="131">
        <f t="shared" si="7"/>
        <v>10925</v>
      </c>
      <c r="J29" s="135">
        <f t="shared" si="7"/>
        <v>-1041</v>
      </c>
      <c r="K29" s="115"/>
      <c r="L29" s="132">
        <f t="shared" si="7"/>
        <v>8003</v>
      </c>
      <c r="M29" s="131">
        <f t="shared" si="7"/>
        <v>5926</v>
      </c>
      <c r="N29" s="135">
        <f t="shared" si="7"/>
        <v>-2077</v>
      </c>
      <c r="O29" s="115"/>
      <c r="P29" s="133">
        <f t="shared" si="7"/>
        <v>-3773</v>
      </c>
      <c r="Q29" s="120"/>
      <c r="R29" s="272">
        <f t="shared" si="7"/>
        <v>69046</v>
      </c>
      <c r="S29" s="131">
        <f t="shared" si="7"/>
        <v>65958</v>
      </c>
      <c r="T29" s="134">
        <f>SUM(T4:T28)</f>
        <v>-3088</v>
      </c>
      <c r="U29" s="82"/>
      <c r="V29" s="272">
        <f>SUM(V4:V28)</f>
        <v>77291</v>
      </c>
      <c r="W29" s="165">
        <f>SUM(W4:W28)</f>
        <v>68031</v>
      </c>
      <c r="X29" s="165">
        <f>SUM(W29-V29)</f>
        <v>-9260</v>
      </c>
      <c r="Z29" s="166"/>
      <c r="AA29" s="166"/>
      <c r="AB29" s="166"/>
      <c r="AC29" s="120"/>
      <c r="AD29" s="166"/>
      <c r="AE29" s="166"/>
      <c r="AF29" s="166"/>
      <c r="AG29" s="120"/>
      <c r="AH29" s="120"/>
      <c r="AI29" s="106"/>
    </row>
    <row r="30" spans="2:35" x14ac:dyDescent="0.2">
      <c r="Q30" s="121"/>
    </row>
  </sheetData>
  <pageMargins left="0" right="0" top="0" bottom="0" header="0" footer="0"/>
  <pageSetup paperSize="9" scale="6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dimension ref="A1:M36"/>
  <sheetViews>
    <sheetView zoomScale="80" zoomScaleNormal="80" workbookViewId="0">
      <selection activeCell="B1" sqref="B1"/>
    </sheetView>
  </sheetViews>
  <sheetFormatPr defaultRowHeight="12" x14ac:dyDescent="0.2"/>
  <cols>
    <col min="1" max="1" width="4.85546875" style="187" customWidth="1"/>
    <col min="2" max="2" width="12.7109375" style="188" bestFit="1" customWidth="1"/>
    <col min="3" max="3" width="8.140625" style="188" customWidth="1"/>
    <col min="4" max="4" width="14" style="188" customWidth="1"/>
    <col min="5" max="5" width="15.5703125" style="188" customWidth="1"/>
    <col min="6" max="6" width="12.140625" style="188" customWidth="1"/>
    <col min="7" max="7" width="13.5703125" style="188" customWidth="1"/>
    <col min="8" max="8" width="11.42578125" style="188" customWidth="1"/>
    <col min="9" max="9" width="13.5703125" style="188" customWidth="1"/>
    <col min="10" max="10" width="3.42578125" style="188" customWidth="1"/>
    <col min="11" max="11" width="10.5703125" style="188" customWidth="1"/>
    <col min="12" max="12" width="10.85546875" style="188" customWidth="1"/>
    <col min="13" max="13" width="11.5703125" style="188" customWidth="1"/>
    <col min="14" max="16384" width="9.140625" style="188"/>
  </cols>
  <sheetData>
    <row r="1" spans="1:13" ht="12.75" thickBot="1" x14ac:dyDescent="0.25">
      <c r="B1" s="188" t="s">
        <v>159</v>
      </c>
      <c r="E1" s="188" t="s">
        <v>160</v>
      </c>
      <c r="K1" s="188" t="s">
        <v>159</v>
      </c>
    </row>
    <row r="2" spans="1:13" ht="12.75" thickBot="1" x14ac:dyDescent="0.25">
      <c r="B2" s="189" t="s">
        <v>161</v>
      </c>
      <c r="C2" s="190" t="s">
        <v>33</v>
      </c>
      <c r="D2" s="190" t="s">
        <v>42</v>
      </c>
      <c r="E2" s="191" t="s">
        <v>162</v>
      </c>
      <c r="F2" s="191" t="s">
        <v>163</v>
      </c>
      <c r="G2" s="191" t="s">
        <v>164</v>
      </c>
      <c r="H2" s="190" t="s">
        <v>165</v>
      </c>
      <c r="I2" s="192" t="s">
        <v>166</v>
      </c>
      <c r="K2" s="189" t="s">
        <v>167</v>
      </c>
      <c r="L2" s="190" t="s">
        <v>168</v>
      </c>
      <c r="M2" s="192" t="s">
        <v>169</v>
      </c>
    </row>
    <row r="3" spans="1:13" x14ac:dyDescent="0.2">
      <c r="A3" s="193" t="s">
        <v>170</v>
      </c>
      <c r="B3" s="194">
        <v>33238</v>
      </c>
      <c r="C3" s="195">
        <v>6.5</v>
      </c>
      <c r="D3" s="196"/>
      <c r="E3" s="197"/>
      <c r="F3" s="197"/>
      <c r="G3" s="197"/>
      <c r="H3" s="198"/>
      <c r="I3" s="199"/>
      <c r="K3" s="194">
        <v>32904</v>
      </c>
      <c r="L3" s="195">
        <v>0.3</v>
      </c>
      <c r="M3" s="200"/>
    </row>
    <row r="4" spans="1:13" x14ac:dyDescent="0.2">
      <c r="A4" s="193"/>
      <c r="B4" s="201">
        <v>33603</v>
      </c>
      <c r="C4" s="202">
        <v>12.2</v>
      </c>
      <c r="D4" s="203"/>
      <c r="E4" s="204"/>
      <c r="F4" s="204"/>
      <c r="G4" s="204"/>
      <c r="H4" s="205"/>
      <c r="I4" s="206"/>
      <c r="K4" s="201">
        <v>33269</v>
      </c>
      <c r="L4" s="202">
        <v>6.6</v>
      </c>
      <c r="M4" s="207"/>
    </row>
    <row r="5" spans="1:13" x14ac:dyDescent="0.2">
      <c r="A5" s="193"/>
      <c r="B5" s="201">
        <v>33969</v>
      </c>
      <c r="C5" s="202">
        <v>14.3</v>
      </c>
      <c r="D5" s="203"/>
      <c r="E5" s="204"/>
      <c r="F5" s="204"/>
      <c r="G5" s="204"/>
      <c r="H5" s="205"/>
      <c r="I5" s="206"/>
      <c r="K5" s="201">
        <v>33634</v>
      </c>
      <c r="L5" s="202">
        <v>12.1</v>
      </c>
      <c r="M5" s="207"/>
    </row>
    <row r="6" spans="1:13" x14ac:dyDescent="0.2">
      <c r="A6" s="193" t="s">
        <v>170</v>
      </c>
      <c r="B6" s="201">
        <v>34334</v>
      </c>
      <c r="C6" s="202">
        <v>16.399999999999999</v>
      </c>
      <c r="D6" s="203"/>
      <c r="E6" s="204"/>
      <c r="F6" s="204"/>
      <c r="G6" s="204"/>
      <c r="H6" s="205"/>
      <c r="I6" s="206"/>
      <c r="K6" s="201">
        <v>34000</v>
      </c>
      <c r="L6" s="202">
        <v>14.2</v>
      </c>
      <c r="M6" s="207"/>
    </row>
    <row r="7" spans="1:13" x14ac:dyDescent="0.2">
      <c r="A7" s="193"/>
      <c r="B7" s="201">
        <v>34699</v>
      </c>
      <c r="C7" s="208">
        <v>16</v>
      </c>
      <c r="D7" s="203"/>
      <c r="E7" s="204"/>
      <c r="F7" s="204"/>
      <c r="G7" s="204"/>
      <c r="H7" s="205"/>
      <c r="I7" s="206"/>
      <c r="K7" s="209">
        <v>34365</v>
      </c>
      <c r="L7" s="202">
        <v>16.7</v>
      </c>
      <c r="M7" s="210"/>
    </row>
    <row r="8" spans="1:13" x14ac:dyDescent="0.2">
      <c r="A8" s="193"/>
      <c r="B8" s="201">
        <v>35064</v>
      </c>
      <c r="C8" s="202">
        <v>14.9</v>
      </c>
      <c r="D8" s="203"/>
      <c r="E8" s="204"/>
      <c r="F8" s="204"/>
      <c r="G8" s="204"/>
      <c r="H8" s="205"/>
      <c r="I8" s="206"/>
      <c r="K8" s="209">
        <v>34730</v>
      </c>
      <c r="L8" s="202">
        <v>16.100000000000001</v>
      </c>
      <c r="M8" s="210"/>
    </row>
    <row r="9" spans="1:13" x14ac:dyDescent="0.2">
      <c r="A9" s="193"/>
      <c r="B9" s="201">
        <v>35430</v>
      </c>
      <c r="C9" s="202">
        <v>13.2</v>
      </c>
      <c r="D9" s="203"/>
      <c r="E9" s="204"/>
      <c r="F9" s="204"/>
      <c r="G9" s="204"/>
      <c r="H9" s="205"/>
      <c r="I9" s="206"/>
      <c r="K9" s="209">
        <v>35095</v>
      </c>
      <c r="L9" s="202">
        <v>15.4</v>
      </c>
      <c r="M9" s="210"/>
    </row>
    <row r="10" spans="1:13" x14ac:dyDescent="0.2">
      <c r="A10" s="193" t="s">
        <v>171</v>
      </c>
      <c r="B10" s="201">
        <v>35795</v>
      </c>
      <c r="C10" s="202">
        <v>10.3</v>
      </c>
      <c r="D10" s="203"/>
      <c r="E10" s="204"/>
      <c r="F10" s="204"/>
      <c r="G10" s="204"/>
      <c r="H10" s="205"/>
      <c r="I10" s="206"/>
      <c r="K10" s="209">
        <v>35461</v>
      </c>
      <c r="L10" s="202">
        <v>13.1</v>
      </c>
      <c r="M10" s="210"/>
    </row>
    <row r="11" spans="1:13" x14ac:dyDescent="0.2">
      <c r="A11" s="193"/>
      <c r="B11" s="201">
        <v>36160</v>
      </c>
      <c r="C11" s="202">
        <v>10.4</v>
      </c>
      <c r="D11" s="202">
        <v>12.4</v>
      </c>
      <c r="E11" s="211">
        <v>137367</v>
      </c>
      <c r="F11" s="211">
        <v>77793</v>
      </c>
      <c r="G11" s="211">
        <f>SUM(E11-F11)</f>
        <v>59574</v>
      </c>
      <c r="H11" s="212">
        <f>SUM(F11)/E11*100</f>
        <v>56.631505383389026</v>
      </c>
      <c r="I11" s="213">
        <f t="shared" ref="I11:I27" si="0">SUM(E11-F11)/E11*100</f>
        <v>43.368494616610974</v>
      </c>
      <c r="K11" s="209">
        <v>35826</v>
      </c>
      <c r="L11" s="202">
        <v>10.7</v>
      </c>
      <c r="M11" s="210"/>
    </row>
    <row r="12" spans="1:13" x14ac:dyDescent="0.2">
      <c r="A12" s="193"/>
      <c r="B12" s="201">
        <v>36525</v>
      </c>
      <c r="C12" s="202">
        <v>13.1</v>
      </c>
      <c r="D12" s="202">
        <v>14.5</v>
      </c>
      <c r="E12" s="211">
        <v>164692</v>
      </c>
      <c r="F12" s="211">
        <v>87827</v>
      </c>
      <c r="G12" s="211">
        <f t="shared" ref="G12:G36" si="1">SUM(E12-F12)</f>
        <v>76865</v>
      </c>
      <c r="H12" s="208">
        <f t="shared" ref="H12:H27" si="2">SUM(F12)/E12*100</f>
        <v>53.328030505428316</v>
      </c>
      <c r="I12" s="213">
        <f t="shared" si="0"/>
        <v>46.671969494571684</v>
      </c>
      <c r="K12" s="209">
        <v>36191</v>
      </c>
      <c r="L12" s="202">
        <v>11.4</v>
      </c>
      <c r="M12" s="214">
        <v>13.2</v>
      </c>
    </row>
    <row r="13" spans="1:13" ht="12.75" thickBot="1" x14ac:dyDescent="0.25">
      <c r="A13" s="193"/>
      <c r="B13" s="215">
        <v>36891</v>
      </c>
      <c r="C13" s="216">
        <v>15.1</v>
      </c>
      <c r="D13" s="216">
        <v>15.9</v>
      </c>
      <c r="E13" s="217">
        <v>182168</v>
      </c>
      <c r="F13" s="218">
        <v>97270</v>
      </c>
      <c r="G13" s="218">
        <f t="shared" si="1"/>
        <v>84898</v>
      </c>
      <c r="H13" s="219">
        <f t="shared" si="2"/>
        <v>53.395766545167099</v>
      </c>
      <c r="I13" s="220">
        <f t="shared" si="0"/>
        <v>46.604233454832901</v>
      </c>
      <c r="K13" s="221">
        <v>36556</v>
      </c>
      <c r="L13" s="222">
        <v>13.7</v>
      </c>
      <c r="M13" s="223">
        <v>15.1</v>
      </c>
    </row>
    <row r="14" spans="1:13" x14ac:dyDescent="0.2">
      <c r="A14" s="193" t="s">
        <v>172</v>
      </c>
      <c r="B14" s="224">
        <v>37256</v>
      </c>
      <c r="C14" s="225">
        <v>17.5</v>
      </c>
      <c r="D14" s="225">
        <v>17.3</v>
      </c>
      <c r="E14" s="226">
        <v>195173</v>
      </c>
      <c r="F14" s="226">
        <v>100472</v>
      </c>
      <c r="G14" s="226">
        <f t="shared" si="1"/>
        <v>94701</v>
      </c>
      <c r="H14" s="227">
        <f t="shared" si="2"/>
        <v>51.478431955239714</v>
      </c>
      <c r="I14" s="228">
        <f t="shared" si="0"/>
        <v>48.521568044760286</v>
      </c>
      <c r="K14" s="229">
        <v>36922</v>
      </c>
      <c r="L14" s="195">
        <v>15.7</v>
      </c>
      <c r="M14" s="230">
        <v>16.399999999999999</v>
      </c>
    </row>
    <row r="15" spans="1:13" x14ac:dyDescent="0.2">
      <c r="A15" s="193"/>
      <c r="B15" s="231">
        <v>37621</v>
      </c>
      <c r="C15" s="232">
        <v>18</v>
      </c>
      <c r="D15" s="233">
        <v>16.899999999999999</v>
      </c>
      <c r="E15" s="234">
        <v>187519</v>
      </c>
      <c r="F15" s="235">
        <v>93772</v>
      </c>
      <c r="G15" s="235">
        <f t="shared" si="1"/>
        <v>93747</v>
      </c>
      <c r="H15" s="232">
        <f t="shared" si="2"/>
        <v>50.006665991179553</v>
      </c>
      <c r="I15" s="236">
        <f t="shared" si="0"/>
        <v>49.99333400882044</v>
      </c>
      <c r="K15" s="209">
        <v>37287</v>
      </c>
      <c r="L15" s="202">
        <v>18.100000000000001</v>
      </c>
      <c r="M15" s="214">
        <v>17.8</v>
      </c>
    </row>
    <row r="16" spans="1:13" x14ac:dyDescent="0.2">
      <c r="A16" s="193"/>
      <c r="B16" s="231">
        <v>37986</v>
      </c>
      <c r="C16" s="232">
        <v>20</v>
      </c>
      <c r="D16" s="233">
        <v>16.7</v>
      </c>
      <c r="E16" s="234">
        <v>182497</v>
      </c>
      <c r="F16" s="235">
        <v>92598</v>
      </c>
      <c r="G16" s="235">
        <f t="shared" si="1"/>
        <v>89899</v>
      </c>
      <c r="H16" s="232">
        <f t="shared" si="2"/>
        <v>50.739464210370578</v>
      </c>
      <c r="I16" s="237">
        <f t="shared" si="0"/>
        <v>49.260535789629415</v>
      </c>
      <c r="K16" s="209">
        <v>37652</v>
      </c>
      <c r="L16" s="202">
        <v>20.6</v>
      </c>
      <c r="M16" s="214">
        <v>17.3</v>
      </c>
    </row>
    <row r="17" spans="1:13" x14ac:dyDescent="0.2">
      <c r="A17" s="193" t="s">
        <v>171</v>
      </c>
      <c r="B17" s="231">
        <v>38352</v>
      </c>
      <c r="C17" s="232">
        <v>19</v>
      </c>
      <c r="D17" s="238">
        <v>19.100000000000001</v>
      </c>
      <c r="E17" s="234">
        <v>170293</v>
      </c>
      <c r="F17" s="235">
        <v>88723</v>
      </c>
      <c r="G17" s="235">
        <f t="shared" si="1"/>
        <v>81570</v>
      </c>
      <c r="H17" s="232">
        <f t="shared" si="2"/>
        <v>52.100203766449596</v>
      </c>
      <c r="I17" s="237">
        <f t="shared" si="0"/>
        <v>47.899796233550411</v>
      </c>
      <c r="K17" s="209">
        <v>38017</v>
      </c>
      <c r="L17" s="202">
        <v>20.6</v>
      </c>
      <c r="M17" s="214">
        <v>19.100000000000001</v>
      </c>
    </row>
    <row r="18" spans="1:13" x14ac:dyDescent="0.2">
      <c r="A18" s="193"/>
      <c r="B18" s="231">
        <v>38717</v>
      </c>
      <c r="C18" s="233">
        <v>17.600000000000001</v>
      </c>
      <c r="D18" s="233">
        <v>18.399999999999999</v>
      </c>
      <c r="E18" s="235">
        <v>163956</v>
      </c>
      <c r="F18" s="235">
        <v>87626</v>
      </c>
      <c r="G18" s="235">
        <f t="shared" si="1"/>
        <v>76330</v>
      </c>
      <c r="H18" s="232">
        <f t="shared" si="2"/>
        <v>53.444826660811437</v>
      </c>
      <c r="I18" s="237">
        <f t="shared" si="0"/>
        <v>46.555173339188563</v>
      </c>
      <c r="K18" s="209">
        <v>38383</v>
      </c>
      <c r="L18" s="202">
        <v>19.399999999999999</v>
      </c>
      <c r="M18" s="214">
        <v>18.5</v>
      </c>
    </row>
    <row r="19" spans="1:13" x14ac:dyDescent="0.2">
      <c r="A19" s="193"/>
      <c r="B19" s="231">
        <v>39082</v>
      </c>
      <c r="C19" s="233">
        <v>14.8</v>
      </c>
      <c r="D19" s="233">
        <v>16.399999999999999</v>
      </c>
      <c r="E19" s="235">
        <v>145246</v>
      </c>
      <c r="F19" s="235">
        <v>81490</v>
      </c>
      <c r="G19" s="235">
        <f t="shared" si="1"/>
        <v>63756</v>
      </c>
      <c r="H19" s="232">
        <f t="shared" si="2"/>
        <v>56.104815278906131</v>
      </c>
      <c r="I19" s="237">
        <f t="shared" si="0"/>
        <v>43.895184721093869</v>
      </c>
      <c r="K19" s="209">
        <v>38748</v>
      </c>
      <c r="L19" s="208">
        <v>18</v>
      </c>
      <c r="M19" s="214">
        <v>16.399999999999999</v>
      </c>
    </row>
    <row r="20" spans="1:13" x14ac:dyDescent="0.2">
      <c r="A20" s="193" t="s">
        <v>173</v>
      </c>
      <c r="B20" s="231">
        <v>39447</v>
      </c>
      <c r="C20" s="233">
        <v>11.2</v>
      </c>
      <c r="D20" s="233">
        <v>14.2</v>
      </c>
      <c r="E20" s="235">
        <v>126360</v>
      </c>
      <c r="F20" s="235">
        <v>73127</v>
      </c>
      <c r="G20" s="235">
        <f t="shared" si="1"/>
        <v>53233</v>
      </c>
      <c r="H20" s="239">
        <f t="shared" si="2"/>
        <v>57.871953149730928</v>
      </c>
      <c r="I20" s="237">
        <f t="shared" si="0"/>
        <v>42.128046850269072</v>
      </c>
      <c r="K20" s="209">
        <v>39113</v>
      </c>
      <c r="L20" s="202">
        <v>15.1</v>
      </c>
      <c r="M20" s="214">
        <v>14.2</v>
      </c>
    </row>
    <row r="21" spans="1:13" x14ac:dyDescent="0.2">
      <c r="A21" s="193"/>
      <c r="B21" s="231">
        <v>39813</v>
      </c>
      <c r="C21" s="233">
        <v>9.5</v>
      </c>
      <c r="D21" s="232">
        <v>13</v>
      </c>
      <c r="E21" s="235">
        <v>115567</v>
      </c>
      <c r="F21" s="235">
        <v>64122</v>
      </c>
      <c r="G21" s="235">
        <f t="shared" si="1"/>
        <v>51445</v>
      </c>
      <c r="H21" s="232">
        <f t="shared" si="2"/>
        <v>55.484697188643814</v>
      </c>
      <c r="I21" s="237">
        <f t="shared" si="0"/>
        <v>44.515302811356186</v>
      </c>
      <c r="K21" s="209">
        <v>39478</v>
      </c>
      <c r="L21" s="202">
        <v>11.5</v>
      </c>
      <c r="M21" s="214">
        <v>14.8</v>
      </c>
    </row>
    <row r="22" spans="1:13" x14ac:dyDescent="0.2">
      <c r="A22" s="193"/>
      <c r="B22" s="231">
        <v>40178</v>
      </c>
      <c r="C22" s="233">
        <v>12.1</v>
      </c>
      <c r="D22" s="233">
        <v>15.9</v>
      </c>
      <c r="E22" s="235">
        <v>141944</v>
      </c>
      <c r="F22" s="235">
        <v>71158</v>
      </c>
      <c r="G22" s="235">
        <f t="shared" si="1"/>
        <v>70786</v>
      </c>
      <c r="H22" s="232">
        <f t="shared" si="2"/>
        <v>50.131037592289914</v>
      </c>
      <c r="I22" s="237">
        <f t="shared" si="0"/>
        <v>49.868962407710086</v>
      </c>
      <c r="K22" s="209">
        <v>39844</v>
      </c>
      <c r="L22" s="202">
        <v>10.4</v>
      </c>
      <c r="M22" s="214">
        <v>14</v>
      </c>
    </row>
    <row r="23" spans="1:13" ht="12.75" thickBot="1" x14ac:dyDescent="0.25">
      <c r="A23" s="193"/>
      <c r="B23" s="215">
        <v>40543</v>
      </c>
      <c r="C23" s="216">
        <v>12.4</v>
      </c>
      <c r="D23" s="216">
        <v>15.4</v>
      </c>
      <c r="E23" s="218">
        <v>142263</v>
      </c>
      <c r="F23" s="218">
        <v>73359</v>
      </c>
      <c r="G23" s="218">
        <f t="shared" si="1"/>
        <v>68904</v>
      </c>
      <c r="H23" s="219">
        <f t="shared" si="2"/>
        <v>51.565762004175362</v>
      </c>
      <c r="I23" s="220">
        <f t="shared" si="0"/>
        <v>48.434237995824638</v>
      </c>
      <c r="K23" s="221">
        <v>40209</v>
      </c>
      <c r="L23" s="222">
        <v>12.9</v>
      </c>
      <c r="M23" s="223">
        <v>16.7</v>
      </c>
    </row>
    <row r="24" spans="1:13" x14ac:dyDescent="0.2">
      <c r="A24" s="193" t="s">
        <v>173</v>
      </c>
      <c r="B24" s="194">
        <v>40908</v>
      </c>
      <c r="C24" s="195">
        <v>12.5</v>
      </c>
      <c r="D24" s="195">
        <v>15.5</v>
      </c>
      <c r="E24" s="240">
        <v>146208</v>
      </c>
      <c r="F24" s="240">
        <v>77403</v>
      </c>
      <c r="G24" s="240">
        <f t="shared" si="1"/>
        <v>68805</v>
      </c>
      <c r="H24" s="241">
        <f t="shared" si="2"/>
        <v>52.940331582403154</v>
      </c>
      <c r="I24" s="242">
        <f t="shared" si="0"/>
        <v>47.059668417596853</v>
      </c>
      <c r="K24" s="229">
        <v>40574</v>
      </c>
      <c r="L24" s="195">
        <v>13.1</v>
      </c>
      <c r="M24" s="230">
        <v>16</v>
      </c>
    </row>
    <row r="25" spans="1:13" x14ac:dyDescent="0.2">
      <c r="A25" s="193"/>
      <c r="B25" s="201">
        <v>41274</v>
      </c>
      <c r="C25" s="202">
        <v>13.4</v>
      </c>
      <c r="D25" s="243">
        <v>16.399999999999999</v>
      </c>
      <c r="E25" s="244">
        <v>153807</v>
      </c>
      <c r="F25" s="244">
        <v>77880</v>
      </c>
      <c r="G25" s="244">
        <f t="shared" si="1"/>
        <v>75927</v>
      </c>
      <c r="H25" s="208">
        <f t="shared" si="2"/>
        <v>50.634886578634266</v>
      </c>
      <c r="I25" s="213">
        <f t="shared" si="0"/>
        <v>49.365113421365734</v>
      </c>
      <c r="K25" s="209">
        <v>40939</v>
      </c>
      <c r="L25" s="202">
        <v>13.2</v>
      </c>
      <c r="M25" s="214">
        <v>16.2</v>
      </c>
    </row>
    <row r="26" spans="1:13" x14ac:dyDescent="0.2">
      <c r="A26" s="193"/>
      <c r="B26" s="201">
        <v>41639</v>
      </c>
      <c r="C26" s="202">
        <v>13.4</v>
      </c>
      <c r="D26" s="202">
        <v>16.3</v>
      </c>
      <c r="E26" s="244">
        <v>154216</v>
      </c>
      <c r="F26" s="211">
        <v>77415</v>
      </c>
      <c r="G26" s="211">
        <f t="shared" si="1"/>
        <v>76801</v>
      </c>
      <c r="H26" s="208">
        <f t="shared" si="2"/>
        <v>50.19907143227681</v>
      </c>
      <c r="I26" s="245">
        <f t="shared" si="0"/>
        <v>49.800928567723197</v>
      </c>
      <c r="K26" s="209">
        <v>41305</v>
      </c>
      <c r="L26" s="202">
        <v>14.2</v>
      </c>
      <c r="M26" s="214">
        <v>16.3</v>
      </c>
    </row>
    <row r="27" spans="1:13" x14ac:dyDescent="0.2">
      <c r="A27" s="193"/>
      <c r="B27" s="246">
        <v>42004</v>
      </c>
      <c r="C27" s="247">
        <v>11.4</v>
      </c>
      <c r="D27" s="247">
        <v>14.6</v>
      </c>
      <c r="E27" s="248">
        <v>137932</v>
      </c>
      <c r="F27" s="248">
        <v>70305</v>
      </c>
      <c r="G27" s="248">
        <f t="shared" si="1"/>
        <v>67627</v>
      </c>
      <c r="H27" s="249">
        <f t="shared" si="2"/>
        <v>50.970768204622566</v>
      </c>
      <c r="I27" s="250">
        <f t="shared" si="0"/>
        <v>49.029231795377434</v>
      </c>
      <c r="K27" s="251">
        <v>41670</v>
      </c>
      <c r="L27" s="247">
        <v>13.9</v>
      </c>
      <c r="M27" s="252">
        <v>14.8</v>
      </c>
    </row>
    <row r="28" spans="1:13" x14ac:dyDescent="0.2">
      <c r="A28" s="193" t="s">
        <v>174</v>
      </c>
      <c r="B28" s="201">
        <v>42369</v>
      </c>
      <c r="C28" s="202">
        <v>9.6999999999999993</v>
      </c>
      <c r="D28" s="202">
        <v>13.2</v>
      </c>
      <c r="E28" s="235">
        <v>123514</v>
      </c>
      <c r="F28" s="235">
        <v>63579</v>
      </c>
      <c r="G28" s="235">
        <f t="shared" si="1"/>
        <v>59935</v>
      </c>
      <c r="H28" s="253">
        <f>SUM(F28)/E28*100</f>
        <v>51.475136421782139</v>
      </c>
      <c r="I28" s="254">
        <f>SUM(E28-F28)/E28*100</f>
        <v>48.524863578217854</v>
      </c>
      <c r="K28" s="209">
        <v>42035</v>
      </c>
      <c r="L28" s="208">
        <v>12</v>
      </c>
      <c r="M28" s="214">
        <v>15.2</v>
      </c>
    </row>
    <row r="29" spans="1:13" x14ac:dyDescent="0.2">
      <c r="A29" s="193"/>
      <c r="B29" s="201">
        <v>42735</v>
      </c>
      <c r="C29" s="202">
        <v>8.1999999999999993</v>
      </c>
      <c r="D29" s="202">
        <v>11.5</v>
      </c>
      <c r="E29" s="235">
        <v>107567</v>
      </c>
      <c r="F29" s="235">
        <v>56384</v>
      </c>
      <c r="G29" s="235">
        <f>SUM(E29-F29)</f>
        <v>51183</v>
      </c>
      <c r="H29" s="253">
        <f>SUM(F29)/E29*100</f>
        <v>52.417563007241995</v>
      </c>
      <c r="I29" s="254">
        <f t="shared" ref="I29:I36" si="3">SUM(E29-F29)/E29*100</f>
        <v>47.582436992758005</v>
      </c>
      <c r="K29" s="201">
        <v>42400</v>
      </c>
      <c r="L29" s="208">
        <v>8.3000000000000007</v>
      </c>
      <c r="M29" s="214">
        <v>11.6</v>
      </c>
    </row>
    <row r="30" spans="1:13" x14ac:dyDescent="0.2">
      <c r="A30" s="193"/>
      <c r="B30" s="201">
        <v>43100</v>
      </c>
      <c r="C30" s="202">
        <v>6.6</v>
      </c>
      <c r="D30" s="202">
        <v>9.6</v>
      </c>
      <c r="E30" s="235">
        <v>90972</v>
      </c>
      <c r="F30" s="235">
        <v>48619</v>
      </c>
      <c r="G30" s="235">
        <f t="shared" si="1"/>
        <v>42353</v>
      </c>
      <c r="H30" s="253">
        <f t="shared" ref="H30:H36" si="4">SUM(F30)/E30*100</f>
        <v>53.443916809567781</v>
      </c>
      <c r="I30" s="254">
        <f t="shared" si="3"/>
        <v>46.556083190432226</v>
      </c>
      <c r="K30" s="201">
        <v>42766</v>
      </c>
      <c r="L30" s="202">
        <v>8.5</v>
      </c>
      <c r="M30" s="214">
        <v>11.8</v>
      </c>
    </row>
    <row r="31" spans="1:13" x14ac:dyDescent="0.2">
      <c r="A31" s="193"/>
      <c r="B31" s="201">
        <v>43465</v>
      </c>
      <c r="C31" s="202">
        <v>5.8</v>
      </c>
      <c r="D31" s="202">
        <v>8.6999999999999993</v>
      </c>
      <c r="E31" s="235">
        <v>82933</v>
      </c>
      <c r="F31" s="235">
        <v>45024</v>
      </c>
      <c r="G31" s="235">
        <f t="shared" si="1"/>
        <v>37909</v>
      </c>
      <c r="H31" s="255">
        <f t="shared" si="4"/>
        <v>54.289607273341133</v>
      </c>
      <c r="I31" s="254">
        <f t="shared" si="3"/>
        <v>45.710392726658874</v>
      </c>
      <c r="K31" s="201">
        <v>43131</v>
      </c>
      <c r="L31" s="202">
        <v>6.8</v>
      </c>
      <c r="M31" s="214">
        <v>9.9</v>
      </c>
    </row>
    <row r="32" spans="1:13" x14ac:dyDescent="0.2">
      <c r="A32" s="193" t="s">
        <v>174</v>
      </c>
      <c r="B32" s="201">
        <v>43830</v>
      </c>
      <c r="C32" s="202">
        <v>5.2</v>
      </c>
      <c r="D32" s="202">
        <v>7.9</v>
      </c>
      <c r="E32" s="235">
        <v>75455</v>
      </c>
      <c r="F32" s="235">
        <v>40284</v>
      </c>
      <c r="G32" s="235">
        <f t="shared" si="1"/>
        <v>35171</v>
      </c>
      <c r="H32" s="253">
        <f t="shared" si="4"/>
        <v>53.388112119806507</v>
      </c>
      <c r="I32" s="254">
        <f t="shared" si="3"/>
        <v>46.611887880193493</v>
      </c>
      <c r="K32" s="201">
        <v>43496</v>
      </c>
      <c r="L32" s="202">
        <v>6.1</v>
      </c>
      <c r="M32" s="213">
        <v>9</v>
      </c>
    </row>
    <row r="33" spans="1:13" ht="12.75" thickBot="1" x14ac:dyDescent="0.25">
      <c r="A33" s="193"/>
      <c r="B33" s="256">
        <v>44196</v>
      </c>
      <c r="C33" s="222">
        <v>6.3</v>
      </c>
      <c r="D33" s="222">
        <v>9.1</v>
      </c>
      <c r="E33" s="217">
        <v>87326</v>
      </c>
      <c r="F33" s="217">
        <v>46036</v>
      </c>
      <c r="G33" s="217">
        <f t="shared" si="1"/>
        <v>41290</v>
      </c>
      <c r="H33" s="257">
        <f t="shared" si="4"/>
        <v>52.717403751460047</v>
      </c>
      <c r="I33" s="258">
        <f t="shared" si="3"/>
        <v>47.282596248539953</v>
      </c>
      <c r="K33" s="256">
        <v>43861</v>
      </c>
      <c r="L33" s="222">
        <v>5.5</v>
      </c>
      <c r="M33" s="223">
        <v>8.3000000000000007</v>
      </c>
    </row>
    <row r="34" spans="1:13" x14ac:dyDescent="0.2">
      <c r="A34" s="193"/>
      <c r="B34" s="259">
        <v>44561</v>
      </c>
      <c r="C34" s="260">
        <v>5.8</v>
      </c>
      <c r="D34" s="261">
        <v>9.9</v>
      </c>
      <c r="E34" s="262">
        <v>77291</v>
      </c>
      <c r="F34" s="262">
        <v>41090</v>
      </c>
      <c r="G34" s="262">
        <f t="shared" si="1"/>
        <v>36201</v>
      </c>
      <c r="H34" s="263">
        <f t="shared" si="4"/>
        <v>53.16272269733863</v>
      </c>
      <c r="I34" s="264">
        <f t="shared" si="3"/>
        <v>46.83727730266137</v>
      </c>
      <c r="K34" s="259">
        <v>44227</v>
      </c>
      <c r="L34" s="260">
        <v>6.5</v>
      </c>
      <c r="M34" s="265">
        <v>9.5</v>
      </c>
    </row>
    <row r="35" spans="1:13" x14ac:dyDescent="0.2">
      <c r="A35" s="193"/>
      <c r="B35" s="201">
        <v>44926</v>
      </c>
      <c r="C35" s="202">
        <v>5.2</v>
      </c>
      <c r="D35" s="202">
        <v>8.8000000000000007</v>
      </c>
      <c r="E35" s="235">
        <v>69046</v>
      </c>
      <c r="F35" s="235">
        <v>36088</v>
      </c>
      <c r="G35" s="235">
        <f t="shared" si="1"/>
        <v>32958</v>
      </c>
      <c r="H35" s="253">
        <f t="shared" si="4"/>
        <v>52.266604872114243</v>
      </c>
      <c r="I35" s="266">
        <f t="shared" si="3"/>
        <v>47.733395127885757</v>
      </c>
      <c r="K35" s="201">
        <v>44592</v>
      </c>
      <c r="L35" s="202">
        <v>5.9</v>
      </c>
      <c r="M35" s="214">
        <v>10.1</v>
      </c>
    </row>
    <row r="36" spans="1:13" ht="12.75" thickBot="1" x14ac:dyDescent="0.25">
      <c r="A36" s="193" t="s">
        <v>175</v>
      </c>
      <c r="B36" s="256">
        <v>45230</v>
      </c>
      <c r="C36" s="267">
        <v>5</v>
      </c>
      <c r="D36" s="222">
        <v>8.3000000000000007</v>
      </c>
      <c r="E36" s="218">
        <v>64968</v>
      </c>
      <c r="F36" s="218">
        <v>34067</v>
      </c>
      <c r="G36" s="218">
        <f t="shared" si="1"/>
        <v>30901</v>
      </c>
      <c r="H36" s="257">
        <f t="shared" si="4"/>
        <v>52.436584164511757</v>
      </c>
      <c r="I36" s="258">
        <f t="shared" si="3"/>
        <v>47.563415835488243</v>
      </c>
      <c r="K36" s="256">
        <v>44957</v>
      </c>
      <c r="L36" s="222">
        <v>5.5</v>
      </c>
      <c r="M36" s="223">
        <v>9.1999999999999993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L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customWidth="1"/>
    <col min="10" max="10" width="15.140625" style="3" customWidth="1"/>
    <col min="11" max="11" width="10.85546875" style="3" customWidth="1"/>
    <col min="12" max="12" width="10.42578125" style="3" customWidth="1"/>
    <col min="13" max="13" width="5.5703125" style="3" customWidth="1"/>
    <col min="14" max="16384" width="9.140625" style="3"/>
  </cols>
  <sheetData>
    <row r="1" spans="2:12" x14ac:dyDescent="0.2">
      <c r="B1" s="2" t="s">
        <v>79</v>
      </c>
      <c r="I1" s="3" t="s">
        <v>83</v>
      </c>
    </row>
    <row r="2" spans="2:12" ht="75" customHeight="1" x14ac:dyDescent="0.2">
      <c r="B2" s="55" t="s">
        <v>27</v>
      </c>
      <c r="C2" s="56" t="s">
        <v>130</v>
      </c>
      <c r="D2" s="57" t="s">
        <v>119</v>
      </c>
      <c r="E2" s="56" t="s">
        <v>28</v>
      </c>
      <c r="F2" s="57" t="s">
        <v>129</v>
      </c>
      <c r="G2" s="56" t="s">
        <v>26</v>
      </c>
      <c r="I2" s="55" t="s">
        <v>27</v>
      </c>
      <c r="J2" s="56" t="str">
        <f>T('1bezr.'!C2)</f>
        <v>liczba bezrobotnych ogółem stan na 30 XI '23 r.</v>
      </c>
      <c r="K2" s="56" t="s">
        <v>77</v>
      </c>
      <c r="L2" s="56" t="s">
        <v>92</v>
      </c>
    </row>
    <row r="3" spans="2:12" x14ac:dyDescent="0.2">
      <c r="B3" s="5" t="s">
        <v>0</v>
      </c>
      <c r="C3" s="6">
        <v>518</v>
      </c>
      <c r="D3" s="61">
        <v>495</v>
      </c>
      <c r="E3" s="6">
        <f t="shared" ref="E3:E26" si="0">SUM(C3)-D3</f>
        <v>23</v>
      </c>
      <c r="F3" s="61">
        <v>535</v>
      </c>
      <c r="G3" s="6">
        <f t="shared" ref="G3:G26" si="1">SUM(C3)-F3</f>
        <v>-17</v>
      </c>
      <c r="I3" s="5" t="s">
        <v>0</v>
      </c>
      <c r="J3" s="6">
        <f>SUM('1bezr.'!C3)</f>
        <v>1035</v>
      </c>
      <c r="K3" s="6">
        <f>SUM(C3)</f>
        <v>518</v>
      </c>
      <c r="L3" s="24">
        <f t="shared" ref="L3:L28" si="2">SUM(K3)/J3*100</f>
        <v>50.048309178743963</v>
      </c>
    </row>
    <row r="4" spans="2:12" x14ac:dyDescent="0.2">
      <c r="B4" s="5" t="s">
        <v>1</v>
      </c>
      <c r="C4" s="6">
        <v>1887</v>
      </c>
      <c r="D4" s="61">
        <v>1866</v>
      </c>
      <c r="E4" s="6">
        <f t="shared" si="0"/>
        <v>21</v>
      </c>
      <c r="F4" s="61">
        <v>2067</v>
      </c>
      <c r="G4" s="6">
        <f t="shared" si="1"/>
        <v>-180</v>
      </c>
      <c r="I4" s="5" t="s">
        <v>1</v>
      </c>
      <c r="J4" s="6">
        <f>SUM('1bezr.'!C4)</f>
        <v>3736</v>
      </c>
      <c r="K4" s="6">
        <f t="shared" ref="K4:K27" si="3">SUM(C4)</f>
        <v>1887</v>
      </c>
      <c r="L4" s="24">
        <f t="shared" si="2"/>
        <v>50.5085653104925</v>
      </c>
    </row>
    <row r="5" spans="2:12" x14ac:dyDescent="0.2">
      <c r="B5" s="5" t="s">
        <v>2</v>
      </c>
      <c r="C5" s="6">
        <v>1427</v>
      </c>
      <c r="D5" s="61">
        <v>1396</v>
      </c>
      <c r="E5" s="6">
        <f t="shared" si="0"/>
        <v>31</v>
      </c>
      <c r="F5" s="61">
        <v>1508</v>
      </c>
      <c r="G5" s="6">
        <f t="shared" si="1"/>
        <v>-81</v>
      </c>
      <c r="I5" s="5" t="s">
        <v>2</v>
      </c>
      <c r="J5" s="6">
        <f>SUM('1bezr.'!C5)</f>
        <v>2400</v>
      </c>
      <c r="K5" s="6">
        <f t="shared" si="3"/>
        <v>1427</v>
      </c>
      <c r="L5" s="24">
        <f t="shared" si="2"/>
        <v>59.458333333333336</v>
      </c>
    </row>
    <row r="6" spans="2:12" x14ac:dyDescent="0.2">
      <c r="B6" s="5" t="s">
        <v>3</v>
      </c>
      <c r="C6" s="6">
        <v>2182</v>
      </c>
      <c r="D6" s="61">
        <v>2201</v>
      </c>
      <c r="E6" s="6">
        <f t="shared" si="0"/>
        <v>-19</v>
      </c>
      <c r="F6" s="61">
        <v>2461</v>
      </c>
      <c r="G6" s="6">
        <f t="shared" si="1"/>
        <v>-279</v>
      </c>
      <c r="I6" s="5" t="s">
        <v>3</v>
      </c>
      <c r="J6" s="6">
        <f>SUM('1bezr.'!C6)</f>
        <v>4167</v>
      </c>
      <c r="K6" s="6">
        <f t="shared" si="3"/>
        <v>2182</v>
      </c>
      <c r="L6" s="24">
        <f t="shared" si="2"/>
        <v>52.363810895128395</v>
      </c>
    </row>
    <row r="7" spans="2:12" x14ac:dyDescent="0.2">
      <c r="B7" s="5" t="s">
        <v>4</v>
      </c>
      <c r="C7" s="6">
        <v>2858</v>
      </c>
      <c r="D7" s="61">
        <v>2795</v>
      </c>
      <c r="E7" s="6">
        <f t="shared" si="0"/>
        <v>63</v>
      </c>
      <c r="F7" s="61">
        <v>2833</v>
      </c>
      <c r="G7" s="6">
        <f t="shared" si="1"/>
        <v>25</v>
      </c>
      <c r="I7" s="5" t="s">
        <v>4</v>
      </c>
      <c r="J7" s="6">
        <f>SUM('1bezr.'!C7)</f>
        <v>4968</v>
      </c>
      <c r="K7" s="6">
        <f t="shared" si="3"/>
        <v>2858</v>
      </c>
      <c r="L7" s="24">
        <f t="shared" si="2"/>
        <v>57.528180354267313</v>
      </c>
    </row>
    <row r="8" spans="2:12" x14ac:dyDescent="0.2">
      <c r="B8" s="5" t="s">
        <v>5</v>
      </c>
      <c r="C8" s="6">
        <v>725</v>
      </c>
      <c r="D8" s="61">
        <v>724</v>
      </c>
      <c r="E8" s="6">
        <f t="shared" si="0"/>
        <v>1</v>
      </c>
      <c r="F8" s="61">
        <v>795</v>
      </c>
      <c r="G8" s="6">
        <f t="shared" si="1"/>
        <v>-70</v>
      </c>
      <c r="I8" s="5" t="s">
        <v>5</v>
      </c>
      <c r="J8" s="6">
        <f>SUM('1bezr.'!C8)</f>
        <v>1478</v>
      </c>
      <c r="K8" s="6">
        <f t="shared" si="3"/>
        <v>725</v>
      </c>
      <c r="L8" s="24">
        <f>SUM(K8)/J8*100</f>
        <v>49.052774018944518</v>
      </c>
    </row>
    <row r="9" spans="2:12" x14ac:dyDescent="0.2">
      <c r="B9" s="9" t="s">
        <v>6</v>
      </c>
      <c r="C9" s="6">
        <v>1182</v>
      </c>
      <c r="D9" s="61">
        <v>1164</v>
      </c>
      <c r="E9" s="6">
        <f t="shared" si="0"/>
        <v>18</v>
      </c>
      <c r="F9" s="61">
        <v>1075</v>
      </c>
      <c r="G9" s="6">
        <f t="shared" si="1"/>
        <v>107</v>
      </c>
      <c r="I9" s="9" t="s">
        <v>6</v>
      </c>
      <c r="J9" s="6">
        <f>SUM('1bezr.'!C9)</f>
        <v>2136</v>
      </c>
      <c r="K9" s="6">
        <f t="shared" si="3"/>
        <v>1182</v>
      </c>
      <c r="L9" s="24">
        <f t="shared" si="2"/>
        <v>55.337078651685388</v>
      </c>
    </row>
    <row r="10" spans="2:12" x14ac:dyDescent="0.2">
      <c r="B10" s="5" t="s">
        <v>7</v>
      </c>
      <c r="C10" s="6">
        <v>774</v>
      </c>
      <c r="D10" s="61">
        <v>717</v>
      </c>
      <c r="E10" s="6">
        <f t="shared" si="0"/>
        <v>57</v>
      </c>
      <c r="F10" s="61">
        <v>800</v>
      </c>
      <c r="G10" s="6">
        <f t="shared" si="1"/>
        <v>-26</v>
      </c>
      <c r="I10" s="5" t="s">
        <v>7</v>
      </c>
      <c r="J10" s="6">
        <f>SUM('1bezr.'!C10)</f>
        <v>1667</v>
      </c>
      <c r="K10" s="6">
        <f t="shared" si="3"/>
        <v>774</v>
      </c>
      <c r="L10" s="24">
        <f t="shared" si="2"/>
        <v>46.430713857228554</v>
      </c>
    </row>
    <row r="11" spans="2:12" x14ac:dyDescent="0.2">
      <c r="B11" s="5" t="s">
        <v>8</v>
      </c>
      <c r="C11" s="6">
        <v>1586</v>
      </c>
      <c r="D11" s="61">
        <v>1562</v>
      </c>
      <c r="E11" s="6">
        <f t="shared" si="0"/>
        <v>24</v>
      </c>
      <c r="F11" s="61">
        <v>1615</v>
      </c>
      <c r="G11" s="6">
        <f t="shared" si="1"/>
        <v>-29</v>
      </c>
      <c r="I11" s="5" t="s">
        <v>8</v>
      </c>
      <c r="J11" s="6">
        <f>SUM('1bezr.'!C11)</f>
        <v>2975</v>
      </c>
      <c r="K11" s="6">
        <f t="shared" si="3"/>
        <v>1586</v>
      </c>
      <c r="L11" s="24">
        <f t="shared" si="2"/>
        <v>53.310924369747902</v>
      </c>
    </row>
    <row r="12" spans="2:12" x14ac:dyDescent="0.2">
      <c r="B12" s="5" t="s">
        <v>9</v>
      </c>
      <c r="C12" s="6">
        <v>817</v>
      </c>
      <c r="D12" s="61">
        <v>782</v>
      </c>
      <c r="E12" s="6">
        <f t="shared" si="0"/>
        <v>35</v>
      </c>
      <c r="F12" s="61">
        <v>831</v>
      </c>
      <c r="G12" s="6">
        <f t="shared" si="1"/>
        <v>-14</v>
      </c>
      <c r="I12" s="5" t="s">
        <v>9</v>
      </c>
      <c r="J12" s="6">
        <f>SUM('1bezr.'!C12)</f>
        <v>1760</v>
      </c>
      <c r="K12" s="6">
        <f t="shared" si="3"/>
        <v>817</v>
      </c>
      <c r="L12" s="24">
        <f t="shared" si="2"/>
        <v>46.420454545454547</v>
      </c>
    </row>
    <row r="13" spans="2:12" x14ac:dyDescent="0.2">
      <c r="B13" s="5" t="s">
        <v>10</v>
      </c>
      <c r="C13" s="6">
        <v>1178</v>
      </c>
      <c r="D13" s="61">
        <v>1157</v>
      </c>
      <c r="E13" s="6">
        <f t="shared" si="0"/>
        <v>21</v>
      </c>
      <c r="F13" s="61">
        <v>1276</v>
      </c>
      <c r="G13" s="6">
        <f t="shared" si="1"/>
        <v>-98</v>
      </c>
      <c r="I13" s="5" t="s">
        <v>10</v>
      </c>
      <c r="J13" s="6">
        <f>SUM('1bezr.'!C13)</f>
        <v>2413</v>
      </c>
      <c r="K13" s="6">
        <f t="shared" si="3"/>
        <v>1178</v>
      </c>
      <c r="L13" s="24">
        <f t="shared" si="2"/>
        <v>48.818897637795274</v>
      </c>
    </row>
    <row r="14" spans="2:12" x14ac:dyDescent="0.2">
      <c r="B14" s="5" t="s">
        <v>11</v>
      </c>
      <c r="C14" s="6">
        <v>1459</v>
      </c>
      <c r="D14" s="61">
        <v>1460</v>
      </c>
      <c r="E14" s="6">
        <f t="shared" si="0"/>
        <v>-1</v>
      </c>
      <c r="F14" s="61">
        <v>1329</v>
      </c>
      <c r="G14" s="6">
        <f t="shared" si="1"/>
        <v>130</v>
      </c>
      <c r="I14" s="5" t="s">
        <v>11</v>
      </c>
      <c r="J14" s="6">
        <f>SUM('1bezr.'!C14)</f>
        <v>2942</v>
      </c>
      <c r="K14" s="6">
        <f t="shared" si="3"/>
        <v>1459</v>
      </c>
      <c r="L14" s="24">
        <f t="shared" si="2"/>
        <v>49.592114208021755</v>
      </c>
    </row>
    <row r="15" spans="2:12" x14ac:dyDescent="0.2">
      <c r="B15" s="5" t="s">
        <v>12</v>
      </c>
      <c r="C15" s="6">
        <v>1528</v>
      </c>
      <c r="D15" s="61">
        <v>1533</v>
      </c>
      <c r="E15" s="6">
        <f t="shared" si="0"/>
        <v>-5</v>
      </c>
      <c r="F15" s="61">
        <v>1594</v>
      </c>
      <c r="G15" s="6">
        <f t="shared" si="1"/>
        <v>-66</v>
      </c>
      <c r="I15" s="5" t="s">
        <v>12</v>
      </c>
      <c r="J15" s="6">
        <f>SUM('1bezr.'!C15)</f>
        <v>2965</v>
      </c>
      <c r="K15" s="6">
        <f t="shared" si="3"/>
        <v>1528</v>
      </c>
      <c r="L15" s="24">
        <f t="shared" si="2"/>
        <v>51.534569983136592</v>
      </c>
    </row>
    <row r="16" spans="2:12" x14ac:dyDescent="0.2">
      <c r="B16" s="5" t="s">
        <v>13</v>
      </c>
      <c r="C16" s="6">
        <v>1459</v>
      </c>
      <c r="D16" s="61">
        <v>1474</v>
      </c>
      <c r="E16" s="6">
        <f t="shared" si="0"/>
        <v>-15</v>
      </c>
      <c r="F16" s="61">
        <v>1556</v>
      </c>
      <c r="G16" s="6">
        <f t="shared" si="1"/>
        <v>-97</v>
      </c>
      <c r="I16" s="5" t="s">
        <v>13</v>
      </c>
      <c r="J16" s="6">
        <f>SUM('1bezr.'!C16)</f>
        <v>2839</v>
      </c>
      <c r="K16" s="6">
        <f t="shared" si="3"/>
        <v>1459</v>
      </c>
      <c r="L16" s="24">
        <f t="shared" si="2"/>
        <v>51.39133497710462</v>
      </c>
    </row>
    <row r="17" spans="2:12" x14ac:dyDescent="0.2">
      <c r="B17" s="5" t="s">
        <v>14</v>
      </c>
      <c r="C17" s="6">
        <v>1760</v>
      </c>
      <c r="D17" s="61">
        <v>1791</v>
      </c>
      <c r="E17" s="6">
        <f t="shared" si="0"/>
        <v>-31</v>
      </c>
      <c r="F17" s="61">
        <v>1977</v>
      </c>
      <c r="G17" s="6">
        <f t="shared" si="1"/>
        <v>-217</v>
      </c>
      <c r="I17" s="5" t="s">
        <v>14</v>
      </c>
      <c r="J17" s="6">
        <f>SUM('1bezr.'!C17)</f>
        <v>3254</v>
      </c>
      <c r="K17" s="6">
        <f t="shared" si="3"/>
        <v>1760</v>
      </c>
      <c r="L17" s="24">
        <f t="shared" si="2"/>
        <v>54.087277197295634</v>
      </c>
    </row>
    <row r="18" spans="2:12" x14ac:dyDescent="0.2">
      <c r="B18" s="5" t="s">
        <v>15</v>
      </c>
      <c r="C18" s="6">
        <v>1342</v>
      </c>
      <c r="D18" s="61">
        <v>1389</v>
      </c>
      <c r="E18" s="6">
        <f t="shared" si="0"/>
        <v>-47</v>
      </c>
      <c r="F18" s="61">
        <v>1499</v>
      </c>
      <c r="G18" s="6">
        <f t="shared" si="1"/>
        <v>-157</v>
      </c>
      <c r="I18" s="5" t="s">
        <v>15</v>
      </c>
      <c r="J18" s="6">
        <f>SUM('1bezr.'!C18)</f>
        <v>2495</v>
      </c>
      <c r="K18" s="6">
        <f t="shared" si="3"/>
        <v>1342</v>
      </c>
      <c r="L18" s="24">
        <f t="shared" si="2"/>
        <v>53.787575150300604</v>
      </c>
    </row>
    <row r="19" spans="2:12" x14ac:dyDescent="0.2">
      <c r="B19" s="5" t="s">
        <v>16</v>
      </c>
      <c r="C19" s="6">
        <v>2282</v>
      </c>
      <c r="D19" s="61">
        <v>2264</v>
      </c>
      <c r="E19" s="6">
        <f t="shared" si="0"/>
        <v>18</v>
      </c>
      <c r="F19" s="61">
        <v>2486</v>
      </c>
      <c r="G19" s="6">
        <f t="shared" si="1"/>
        <v>-204</v>
      </c>
      <c r="I19" s="5" t="s">
        <v>16</v>
      </c>
      <c r="J19" s="6">
        <f>SUM('1bezr.'!C19)</f>
        <v>4647</v>
      </c>
      <c r="K19" s="6">
        <f t="shared" si="3"/>
        <v>2282</v>
      </c>
      <c r="L19" s="24">
        <f t="shared" si="2"/>
        <v>49.106950720895206</v>
      </c>
    </row>
    <row r="20" spans="2:12" x14ac:dyDescent="0.2">
      <c r="B20" s="5" t="s">
        <v>17</v>
      </c>
      <c r="C20" s="6">
        <v>1338</v>
      </c>
      <c r="D20" s="61">
        <v>1344</v>
      </c>
      <c r="E20" s="6">
        <f t="shared" si="0"/>
        <v>-6</v>
      </c>
      <c r="F20" s="61">
        <v>1318</v>
      </c>
      <c r="G20" s="6">
        <f t="shared" si="1"/>
        <v>20</v>
      </c>
      <c r="I20" s="5" t="s">
        <v>17</v>
      </c>
      <c r="J20" s="6">
        <f>SUM('1bezr.'!C20)</f>
        <v>2700</v>
      </c>
      <c r="K20" s="6">
        <f t="shared" si="3"/>
        <v>1338</v>
      </c>
      <c r="L20" s="24">
        <f t="shared" si="2"/>
        <v>49.555555555555557</v>
      </c>
    </row>
    <row r="21" spans="2:12" x14ac:dyDescent="0.2">
      <c r="B21" s="5" t="s">
        <v>18</v>
      </c>
      <c r="C21" s="6">
        <v>1055</v>
      </c>
      <c r="D21" s="61">
        <v>1065</v>
      </c>
      <c r="E21" s="6">
        <f t="shared" si="0"/>
        <v>-10</v>
      </c>
      <c r="F21" s="61">
        <v>1011</v>
      </c>
      <c r="G21" s="6">
        <f t="shared" si="1"/>
        <v>44</v>
      </c>
      <c r="I21" s="5" t="s">
        <v>18</v>
      </c>
      <c r="J21" s="6">
        <f>SUM('1bezr.'!C21)</f>
        <v>1918</v>
      </c>
      <c r="K21" s="6">
        <f t="shared" si="3"/>
        <v>1055</v>
      </c>
      <c r="L21" s="24">
        <f t="shared" si="2"/>
        <v>55.00521376433786</v>
      </c>
    </row>
    <row r="22" spans="2:12" x14ac:dyDescent="0.2">
      <c r="B22" s="5" t="s">
        <v>19</v>
      </c>
      <c r="C22" s="6">
        <v>1548</v>
      </c>
      <c r="D22" s="61">
        <v>1516</v>
      </c>
      <c r="E22" s="6">
        <f t="shared" si="0"/>
        <v>32</v>
      </c>
      <c r="F22" s="61">
        <v>1693</v>
      </c>
      <c r="G22" s="6">
        <f t="shared" si="1"/>
        <v>-145</v>
      </c>
      <c r="I22" s="5" t="s">
        <v>19</v>
      </c>
      <c r="J22" s="6">
        <f>SUM('1bezr.'!C22)</f>
        <v>2999</v>
      </c>
      <c r="K22" s="6">
        <f t="shared" si="3"/>
        <v>1548</v>
      </c>
      <c r="L22" s="24">
        <f t="shared" si="2"/>
        <v>51.617205735245086</v>
      </c>
    </row>
    <row r="23" spans="2:12" x14ac:dyDescent="0.2">
      <c r="B23" s="5" t="s">
        <v>20</v>
      </c>
      <c r="C23" s="6">
        <v>662</v>
      </c>
      <c r="D23" s="61">
        <v>663</v>
      </c>
      <c r="E23" s="6">
        <f t="shared" si="0"/>
        <v>-1</v>
      </c>
      <c r="F23" s="61">
        <v>683</v>
      </c>
      <c r="G23" s="6">
        <f t="shared" si="1"/>
        <v>-21</v>
      </c>
      <c r="I23" s="5" t="s">
        <v>20</v>
      </c>
      <c r="J23" s="6">
        <f>SUM('1bezr.'!C23)</f>
        <v>1255</v>
      </c>
      <c r="K23" s="6">
        <f t="shared" si="3"/>
        <v>662</v>
      </c>
      <c r="L23" s="24">
        <f t="shared" si="2"/>
        <v>52.749003984063748</v>
      </c>
    </row>
    <row r="24" spans="2:12" x14ac:dyDescent="0.2">
      <c r="B24" s="5" t="s">
        <v>21</v>
      </c>
      <c r="C24" s="6">
        <v>424</v>
      </c>
      <c r="D24" s="61">
        <v>426</v>
      </c>
      <c r="E24" s="6">
        <f t="shared" si="0"/>
        <v>-2</v>
      </c>
      <c r="F24" s="61">
        <v>383</v>
      </c>
      <c r="G24" s="6">
        <f t="shared" si="1"/>
        <v>41</v>
      </c>
      <c r="I24" s="5" t="s">
        <v>21</v>
      </c>
      <c r="J24" s="6">
        <f>SUM('1bezr.'!C24)</f>
        <v>774</v>
      </c>
      <c r="K24" s="6">
        <f t="shared" si="3"/>
        <v>424</v>
      </c>
      <c r="L24" s="24">
        <f t="shared" si="2"/>
        <v>54.780361757105943</v>
      </c>
    </row>
    <row r="25" spans="2:12" x14ac:dyDescent="0.2">
      <c r="B25" s="5" t="s">
        <v>22</v>
      </c>
      <c r="C25" s="6">
        <v>1153</v>
      </c>
      <c r="D25" s="61">
        <v>1151</v>
      </c>
      <c r="E25" s="6">
        <f t="shared" si="0"/>
        <v>2</v>
      </c>
      <c r="F25" s="61">
        <v>1191</v>
      </c>
      <c r="G25" s="6">
        <f t="shared" si="1"/>
        <v>-38</v>
      </c>
      <c r="I25" s="5" t="s">
        <v>22</v>
      </c>
      <c r="J25" s="6">
        <f>SUM('1bezr.'!C25)</f>
        <v>2307</v>
      </c>
      <c r="K25" s="6">
        <f t="shared" si="3"/>
        <v>1153</v>
      </c>
      <c r="L25" s="24">
        <f t="shared" si="2"/>
        <v>49.978326831382745</v>
      </c>
    </row>
    <row r="26" spans="2:12" x14ac:dyDescent="0.2">
      <c r="B26" s="5" t="s">
        <v>23</v>
      </c>
      <c r="C26" s="6">
        <v>2595</v>
      </c>
      <c r="D26" s="61">
        <v>2580</v>
      </c>
      <c r="E26" s="6">
        <f t="shared" si="0"/>
        <v>15</v>
      </c>
      <c r="F26" s="61">
        <v>2902</v>
      </c>
      <c r="G26" s="6">
        <f t="shared" si="1"/>
        <v>-307</v>
      </c>
      <c r="I26" s="5" t="s">
        <v>23</v>
      </c>
      <c r="J26" s="6">
        <f>SUM('1bezr.'!C26)</f>
        <v>5082</v>
      </c>
      <c r="K26" s="6">
        <f t="shared" si="3"/>
        <v>2595</v>
      </c>
      <c r="L26" s="24">
        <f t="shared" si="2"/>
        <v>51.062573789846525</v>
      </c>
    </row>
    <row r="27" spans="2:12" x14ac:dyDescent="0.2">
      <c r="B27" s="5" t="s">
        <v>24</v>
      </c>
      <c r="C27" s="6">
        <v>538</v>
      </c>
      <c r="D27" s="61">
        <v>552</v>
      </c>
      <c r="E27" s="6">
        <f>SUM(C27)-D27</f>
        <v>-14</v>
      </c>
      <c r="F27" s="61">
        <v>562</v>
      </c>
      <c r="G27" s="6">
        <f>SUM(C27)-F27</f>
        <v>-24</v>
      </c>
      <c r="I27" s="5" t="s">
        <v>24</v>
      </c>
      <c r="J27" s="6">
        <f>SUM('1bezr.'!C27)</f>
        <v>1046</v>
      </c>
      <c r="K27" s="6">
        <f t="shared" si="3"/>
        <v>538</v>
      </c>
      <c r="L27" s="24">
        <f t="shared" si="2"/>
        <v>51.434034416826002</v>
      </c>
    </row>
    <row r="28" spans="2:12" ht="15" x14ac:dyDescent="0.25">
      <c r="B28" s="58" t="s">
        <v>25</v>
      </c>
      <c r="C28" s="59">
        <f>SUM(C3:C27)</f>
        <v>34277</v>
      </c>
      <c r="D28" s="60">
        <f>SUM(D3:D27)</f>
        <v>34067</v>
      </c>
      <c r="E28" s="59">
        <f>SUM(E3:E27)</f>
        <v>210</v>
      </c>
      <c r="F28" s="60">
        <f>SUM(F3:F27)</f>
        <v>35980</v>
      </c>
      <c r="G28" s="59">
        <f>SUM(G3:G27)</f>
        <v>-1703</v>
      </c>
      <c r="I28" s="58" t="s">
        <v>25</v>
      </c>
      <c r="J28" s="59">
        <f>SUM(J3:J27)</f>
        <v>65958</v>
      </c>
      <c r="K28" s="59">
        <f>SUM(K3:K27)</f>
        <v>34277</v>
      </c>
      <c r="L28" s="64">
        <f t="shared" si="2"/>
        <v>51.967918978744052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79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30 XI '23 r.</v>
      </c>
      <c r="E3" s="55" t="str">
        <f>T('2kob.'!D2)</f>
        <v>liczba bezrobotnych kobiet stan na 31 X '23 r.</v>
      </c>
      <c r="F3" s="55" t="str">
        <f>T('2kob.'!E2)</f>
        <v>wzrost/spadek do poprzedniego  miesiąca</v>
      </c>
      <c r="G3" s="55" t="str">
        <f>T('2kob.'!F2)</f>
        <v>liczba bezrobotnych kobiet stan na 30 XI '22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424</v>
      </c>
      <c r="E4" s="61">
        <f>INDEX('2kob.'!B3:G28,MATCH(1,B4:B29,0),3)</f>
        <v>426</v>
      </c>
      <c r="F4" s="6">
        <f>INDEX('2kob.'!B3:G28,MATCH(1,B4:B29,0),4)</f>
        <v>-2</v>
      </c>
      <c r="G4" s="61">
        <f>INDEX('2kob.'!B3:G28,MATCH(1,B4:B29,0),5)</f>
        <v>383</v>
      </c>
      <c r="H4" s="6">
        <f>INDEX('2kob.'!B3:G28,MATCH(1,B4:B29,0),6)</f>
        <v>41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518</v>
      </c>
      <c r="E5" s="61">
        <f>INDEX('2kob.'!B3:G28,MATCH(2,B4:B29,0),3)</f>
        <v>495</v>
      </c>
      <c r="F5" s="6">
        <f>INDEX('2kob.'!B3:G28,MATCH(2,B4:B29,0),4)</f>
        <v>23</v>
      </c>
      <c r="G5" s="61">
        <f>INDEX('2kob.'!B3:G28,MATCH(2,B4:B29,0),5)</f>
        <v>535</v>
      </c>
      <c r="H5" s="6">
        <f>INDEX('2kob.'!B3:G28,MATCH(2,B4:B29,0),6)</f>
        <v>-17</v>
      </c>
    </row>
    <row r="6" spans="2:8" x14ac:dyDescent="0.2">
      <c r="B6" s="6">
        <f>RANK('2kob.'!C5,'2kob.'!$C$3:'2kob.'!$C$28,1)+COUNTIF('2kob.'!$C$3:'2kob.'!C5,'2kob.'!C5)-1</f>
        <v>14</v>
      </c>
      <c r="C6" s="5" t="str">
        <f>INDEX('2kob.'!B3:G28,MATCH(3,B4:B29,0),1)</f>
        <v>Tarnobrzeg</v>
      </c>
      <c r="D6" s="6">
        <f>INDEX('2kob.'!B3:G28,MATCH(3,B4:B29,0),2)</f>
        <v>538</v>
      </c>
      <c r="E6" s="61">
        <f>INDEX('2kob.'!B3:G28,MATCH(3,B4:B29,0),3)</f>
        <v>552</v>
      </c>
      <c r="F6" s="6">
        <f>INDEX('2kob.'!B3:G28,MATCH(3,B4:B29,0),4)</f>
        <v>-14</v>
      </c>
      <c r="G6" s="61">
        <f>INDEX('2kob.'!B3:G28,MATCH(3,B4:B29,0),5)</f>
        <v>562</v>
      </c>
      <c r="H6" s="6">
        <f>INDEX('2kob.'!B3:G28,MATCH(3,B4:B29,0),6)</f>
        <v>-24</v>
      </c>
    </row>
    <row r="7" spans="2:8" x14ac:dyDescent="0.2">
      <c r="B7" s="6">
        <f>RANK('2kob.'!C6,'2kob.'!$C$3:'2kob.'!$C$28,1)+COUNTIF('2kob.'!$C$3:'2kob.'!C6,'2kob.'!C6)-1</f>
        <v>22</v>
      </c>
      <c r="C7" s="5" t="str">
        <f>INDEX('2kob.'!B3:G28,MATCH(4,B4:B29,0),1)</f>
        <v xml:space="preserve">tarnobrzeski </v>
      </c>
      <c r="D7" s="6">
        <f>INDEX('2kob.'!B3:G28,MATCH(4,B4:B29,0),2)</f>
        <v>662</v>
      </c>
      <c r="E7" s="61">
        <f>INDEX('2kob.'!B3:G28,MATCH(4,B4:B29,0),3)</f>
        <v>663</v>
      </c>
      <c r="F7" s="6">
        <f>INDEX('2kob.'!B3:G28,MATCH(4,B4:B29,0),4)</f>
        <v>-1</v>
      </c>
      <c r="G7" s="61">
        <f>INDEX('2kob.'!B3:G28,MATCH(4,B4:B29,0),5)</f>
        <v>683</v>
      </c>
      <c r="H7" s="6">
        <f>INDEX('2kob.'!B3:G28,MATCH(4,B4:B29,0),6)</f>
        <v>-21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725</v>
      </c>
      <c r="E8" s="61">
        <f>INDEX('2kob.'!B3:G28,MATCH(5,B4:B29,0),3)</f>
        <v>724</v>
      </c>
      <c r="F8" s="6">
        <f>INDEX('2kob.'!B3:G28,MATCH(5,B4:B29,0),4)</f>
        <v>1</v>
      </c>
      <c r="G8" s="61">
        <f>INDEX('2kob.'!B3:G28,MATCH(5,B4:B29,0),5)</f>
        <v>795</v>
      </c>
      <c r="H8" s="6">
        <f>INDEX('2kob.'!B3:G28,MATCH(5,B4:B29,0),6)</f>
        <v>-70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774</v>
      </c>
      <c r="E9" s="61">
        <f>INDEX('2kob.'!B3:G28,MATCH(6,B4:B29,0),3)</f>
        <v>717</v>
      </c>
      <c r="F9" s="6">
        <f>INDEX('2kob.'!B3:G28,MATCH(6,B4:B29,0),4)</f>
        <v>57</v>
      </c>
      <c r="G9" s="61">
        <f>INDEX('2kob.'!B3:G28,MATCH(6,B4:B29,0),5)</f>
        <v>800</v>
      </c>
      <c r="H9" s="6">
        <f>INDEX('2kob.'!B3:G28,MATCH(6,B4:B29,0),6)</f>
        <v>-26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817</v>
      </c>
      <c r="E10" s="61">
        <f>INDEX('2kob.'!B3:G28,MATCH(7,B4:B29,0),3)</f>
        <v>782</v>
      </c>
      <c r="F10" s="6">
        <f>INDEX('2kob.'!B3:G28,MATCH(7,B4:B29,0),4)</f>
        <v>35</v>
      </c>
      <c r="G10" s="61">
        <f>INDEX('2kob.'!B3:G28,MATCH(7,B4:B29,0),5)</f>
        <v>831</v>
      </c>
      <c r="H10" s="6">
        <f>INDEX('2kob.'!B3:G28,MATCH(7,B4:B29,0),6)</f>
        <v>-14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stalowowolski</v>
      </c>
      <c r="D11" s="6">
        <f>INDEX('2kob.'!B3:G28,MATCH(8,B4:B29,0),2)</f>
        <v>1055</v>
      </c>
      <c r="E11" s="61">
        <f>INDEX('2kob.'!B3:G28,MATCH(8,B4:B29,0),3)</f>
        <v>1065</v>
      </c>
      <c r="F11" s="6">
        <f>INDEX('2kob.'!B3:G28,MATCH(8,B4:B29,0),4)</f>
        <v>-10</v>
      </c>
      <c r="G11" s="61">
        <f>INDEX('2kob.'!B3:G28,MATCH(8,B4:B29,0),5)</f>
        <v>1011</v>
      </c>
      <c r="H11" s="6">
        <f>INDEX('2kob.'!B3:G28,MATCH(8,B4:B29,0),6)</f>
        <v>44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Przemyśl</v>
      </c>
      <c r="D12" s="6">
        <f>INDEX('2kob.'!B3:G28,MATCH(9,B4:B29,0),2)</f>
        <v>1153</v>
      </c>
      <c r="E12" s="61">
        <f>INDEX('2kob.'!B3:G28,MATCH(9,B4:B29,0),3)</f>
        <v>1151</v>
      </c>
      <c r="F12" s="6">
        <f>INDEX('2kob.'!B3:G28,MATCH(9,B4:B29,0),4)</f>
        <v>2</v>
      </c>
      <c r="G12" s="61">
        <f>INDEX('2kob.'!B3:G28,MATCH(9,B4:B29,0),5)</f>
        <v>1191</v>
      </c>
      <c r="H12" s="6">
        <f>INDEX('2kob.'!B3:G28,MATCH(9,B4:B29,0),6)</f>
        <v>-38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1178</v>
      </c>
      <c r="E13" s="61">
        <f>INDEX('2kob.'!B3:G28,MATCH(10,B4:B29,0),3)</f>
        <v>1157</v>
      </c>
      <c r="F13" s="6">
        <f>INDEX('2kob.'!B3:G28,MATCH(10,B4:B29,0),4)</f>
        <v>21</v>
      </c>
      <c r="G13" s="61">
        <f>INDEX('2kob.'!B3:G28,MATCH(10,B4:B29,0),5)</f>
        <v>1276</v>
      </c>
      <c r="H13" s="6">
        <f>INDEX('2kob.'!B3:G28,MATCH(10,B4:B29,0),6)</f>
        <v>-98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1182</v>
      </c>
      <c r="E14" s="61">
        <f>INDEX('2kob.'!B3:G28,MATCH(11,B4:B29,0),3)</f>
        <v>1164</v>
      </c>
      <c r="F14" s="6">
        <f>INDEX('2kob.'!B3:G28,MATCH(11,B4:B29,0),4)</f>
        <v>18</v>
      </c>
      <c r="G14" s="61">
        <f>INDEX('2kob.'!B3:G28,MATCH(11,B4:B29,0),5)</f>
        <v>1075</v>
      </c>
      <c r="H14" s="6">
        <f>INDEX('2kob.'!B3:G28,MATCH(11,B4:B29,0),6)</f>
        <v>107</v>
      </c>
    </row>
    <row r="15" spans="2:8" x14ac:dyDescent="0.2">
      <c r="B15" s="6">
        <f>RANK('2kob.'!C14,'2kob.'!$C$3:'2kob.'!$C$28,1)+COUNTIF('2kob.'!$C$3:'2kob.'!C14,'2kob.'!C14)-1</f>
        <v>15</v>
      </c>
      <c r="C15" s="5" t="str">
        <f>INDEX('2kob.'!B3:G28,MATCH(12,B4:B29,0),1)</f>
        <v>sanocki</v>
      </c>
      <c r="D15" s="6">
        <f>INDEX('2kob.'!B3:G28,MATCH(12,B4:B29,0),2)</f>
        <v>1338</v>
      </c>
      <c r="E15" s="61">
        <f>INDEX('2kob.'!B3:G28,MATCH(12,B4:B29,0),3)</f>
        <v>1344</v>
      </c>
      <c r="F15" s="6">
        <f>INDEX('2kob.'!B3:G28,MATCH(12,B4:B29,0),4)</f>
        <v>-6</v>
      </c>
      <c r="G15" s="61">
        <f>INDEX('2kob.'!B3:G28,MATCH(12,B4:B29,0),5)</f>
        <v>1318</v>
      </c>
      <c r="H15" s="6">
        <f>INDEX('2kob.'!B3:G28,MATCH(12,B4:B29,0),6)</f>
        <v>20</v>
      </c>
    </row>
    <row r="16" spans="2:8" x14ac:dyDescent="0.2">
      <c r="B16" s="6">
        <f>RANK('2kob.'!C15,'2kob.'!$C$3:'2kob.'!$C$28,1)+COUNTIF('2kob.'!$C$3:'2kob.'!C15,'2kob.'!C15)-1</f>
        <v>17</v>
      </c>
      <c r="C16" s="5" t="str">
        <f>INDEX('2kob.'!B3:G28,MATCH(13,B4:B29,0),1)</f>
        <v>ropczycko-sędziszowski</v>
      </c>
      <c r="D16" s="6">
        <f>INDEX('2kob.'!B3:G28,MATCH(13,B4:B29,0),2)</f>
        <v>1342</v>
      </c>
      <c r="E16" s="61">
        <f>INDEX('2kob.'!B3:G28,MATCH(13,B4:B29,0),3)</f>
        <v>1389</v>
      </c>
      <c r="F16" s="6">
        <f>INDEX('2kob.'!B3:G28,MATCH(13,B4:B29,0),4)</f>
        <v>-47</v>
      </c>
      <c r="G16" s="61">
        <f>INDEX('2kob.'!B3:G28,MATCH(13,B4:B29,0),5)</f>
        <v>1499</v>
      </c>
      <c r="H16" s="6">
        <f>INDEX('2kob.'!B3:G28,MATCH(13,B4:B29,0),6)</f>
        <v>-157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dębicki</v>
      </c>
      <c r="D17" s="6">
        <f>INDEX('2kob.'!B3:G28,MATCH(14,B4:B29,0),2)</f>
        <v>1427</v>
      </c>
      <c r="E17" s="61">
        <f>INDEX('2kob.'!B3:G28,MATCH(14,B4:B29,0),3)</f>
        <v>1396</v>
      </c>
      <c r="F17" s="6">
        <f>INDEX('2kob.'!B3:G28,MATCH(14,B4:B29,0),4)</f>
        <v>31</v>
      </c>
      <c r="G17" s="61">
        <f>INDEX('2kob.'!B3:G28,MATCH(14,B4:B29,0),5)</f>
        <v>1508</v>
      </c>
      <c r="H17" s="6">
        <f>INDEX('2kob.'!B3:G28,MATCH(14,B4:B29,0),6)</f>
        <v>-81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mielecki</v>
      </c>
      <c r="D18" s="6">
        <f>INDEX('2kob.'!B3:G28,MATCH(15,B4:B29,0),2)</f>
        <v>1459</v>
      </c>
      <c r="E18" s="61">
        <f>INDEX('2kob.'!B3:G28,MATCH(15,B4:B29,0),3)</f>
        <v>1460</v>
      </c>
      <c r="F18" s="6">
        <f>INDEX('2kob.'!B3:G28,MATCH(15,B4:B29,0),4)</f>
        <v>-1</v>
      </c>
      <c r="G18" s="61">
        <f>INDEX('2kob.'!B3:G28,MATCH(15,B4:B29,0),5)</f>
        <v>1329</v>
      </c>
      <c r="H18" s="6">
        <f>INDEX('2kob.'!B3:G28,MATCH(15,B4:B29,0),6)</f>
        <v>130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przemyski</v>
      </c>
      <c r="D19" s="6">
        <f>INDEX('2kob.'!B3:G28,MATCH(16,B4:B29,0),2)</f>
        <v>1459</v>
      </c>
      <c r="E19" s="61">
        <f>INDEX('2kob.'!B3:G28,MATCH(16,B4:B29,0),3)</f>
        <v>1474</v>
      </c>
      <c r="F19" s="6">
        <f>INDEX('2kob.'!B3:G28,MATCH(16,B4:B29,0),4)</f>
        <v>-15</v>
      </c>
      <c r="G19" s="61">
        <f>INDEX('2kob.'!B3:G28,MATCH(16,B4:B29,0),5)</f>
        <v>1556</v>
      </c>
      <c r="H19" s="6">
        <f>INDEX('2kob.'!B3:G28,MATCH(16,B4:B29,0),6)</f>
        <v>-97</v>
      </c>
    </row>
    <row r="20" spans="2:8" x14ac:dyDescent="0.2">
      <c r="B20" s="6">
        <f>RANK('2kob.'!C19,'2kob.'!$C$3:'2kob.'!$C$28,1)+COUNTIF('2kob.'!$C$3:'2kob.'!C19,'2kob.'!C19)-1</f>
        <v>23</v>
      </c>
      <c r="C20" s="5" t="str">
        <f>INDEX('2kob.'!B3:G28,MATCH(17,B4:B29,0),1)</f>
        <v>niżański</v>
      </c>
      <c r="D20" s="6">
        <f>INDEX('2kob.'!B3:G28,MATCH(17,B4:B29,0),2)</f>
        <v>1528</v>
      </c>
      <c r="E20" s="61">
        <f>INDEX('2kob.'!B3:G28,MATCH(17,B4:B29,0),3)</f>
        <v>1533</v>
      </c>
      <c r="F20" s="6">
        <f>INDEX('2kob.'!B3:G28,MATCH(17,B4:B29,0),4)</f>
        <v>-5</v>
      </c>
      <c r="G20" s="61">
        <f>INDEX('2kob.'!B3:G28,MATCH(17,B4:B29,0),5)</f>
        <v>1594</v>
      </c>
      <c r="H20" s="6">
        <f>INDEX('2kob.'!B3:G28,MATCH(17,B4:B29,0),6)</f>
        <v>-66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strzyżowski</v>
      </c>
      <c r="D21" s="6">
        <f>INDEX('2kob.'!B3:G28,MATCH(18,B4:B29,0),2)</f>
        <v>1548</v>
      </c>
      <c r="E21" s="61">
        <f>INDEX('2kob.'!B3:G28,MATCH(18,B4:B29,0),3)</f>
        <v>1516</v>
      </c>
      <c r="F21" s="6">
        <f>INDEX('2kob.'!B3:G28,MATCH(18,B4:B29,0),4)</f>
        <v>32</v>
      </c>
      <c r="G21" s="61">
        <f>INDEX('2kob.'!B3:G28,MATCH(18,B4:B29,0),5)</f>
        <v>1693</v>
      </c>
      <c r="H21" s="6">
        <f>INDEX('2kob.'!B3:G28,MATCH(18,B4:B29,0),6)</f>
        <v>-145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leżajski</v>
      </c>
      <c r="D22" s="6">
        <f>INDEX('2kob.'!B3:G28,MATCH(19,B4:B29,0),2)</f>
        <v>1586</v>
      </c>
      <c r="E22" s="61">
        <f>INDEX('2kob.'!B3:G28,MATCH(19,B4:B29,0),3)</f>
        <v>1562</v>
      </c>
      <c r="F22" s="6">
        <f>INDEX('2kob.'!B3:G28,MATCH(19,B4:B29,0),4)</f>
        <v>24</v>
      </c>
      <c r="G22" s="61">
        <f>INDEX('2kob.'!B3:G28,MATCH(19,B4:B29,0),5)</f>
        <v>1615</v>
      </c>
      <c r="H22" s="6">
        <f>INDEX('2kob.'!B3:G28,MATCH(19,B4:B29,0),6)</f>
        <v>-29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przeworski</v>
      </c>
      <c r="D23" s="6">
        <f>INDEX('2kob.'!B3:G28,MATCH(20,B4:B29,0),2)</f>
        <v>1760</v>
      </c>
      <c r="E23" s="61">
        <f>INDEX('2kob.'!B3:G28,MATCH(20,B4:B29,0),3)</f>
        <v>1791</v>
      </c>
      <c r="F23" s="6">
        <f>INDEX('2kob.'!B3:G28,MATCH(20,B4:B29,0),4)</f>
        <v>-31</v>
      </c>
      <c r="G23" s="61">
        <f>INDEX('2kob.'!B3:G28,MATCH(20,B4:B29,0),5)</f>
        <v>1977</v>
      </c>
      <c r="H23" s="6">
        <f>INDEX('2kob.'!B3:G28,MATCH(20,B4:B29,0),6)</f>
        <v>-217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1887</v>
      </c>
      <c r="E24" s="61">
        <f>INDEX('2kob.'!B3:G28,MATCH(21,B4:B29,0),3)</f>
        <v>1866</v>
      </c>
      <c r="F24" s="6">
        <f>INDEX('2kob.'!B3:G28,MATCH(21,B4:B29,0),4)</f>
        <v>21</v>
      </c>
      <c r="G24" s="61">
        <f>INDEX('2kob.'!B3:G28,MATCH(21,B4:B29,0),5)</f>
        <v>2067</v>
      </c>
      <c r="H24" s="6">
        <f>INDEX('2kob.'!B3:G28,MATCH(21,B4:B29,0),6)</f>
        <v>-180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jarosławski</v>
      </c>
      <c r="D25" s="6">
        <f>INDEX('2kob.'!B3:G28,MATCH(22,B4:B29,0),2)</f>
        <v>2182</v>
      </c>
      <c r="E25" s="61">
        <f>INDEX('2kob.'!B3:G28,MATCH(22,B4:B29,0),3)</f>
        <v>2201</v>
      </c>
      <c r="F25" s="6">
        <f>INDEX('2kob.'!B3:G28,MATCH(22,B4:B29,0),4)</f>
        <v>-19</v>
      </c>
      <c r="G25" s="61">
        <f>INDEX('2kob.'!B3:G28,MATCH(22,B4:B29,0),5)</f>
        <v>2461</v>
      </c>
      <c r="H25" s="6">
        <f>INDEX('2kob.'!B3:G28,MATCH(22,B4:B29,0),6)</f>
        <v>-279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rzeszowski</v>
      </c>
      <c r="D26" s="6">
        <f>INDEX('2kob.'!B3:G28,MATCH(23,B4:B29,0),2)</f>
        <v>2282</v>
      </c>
      <c r="E26" s="61">
        <f>INDEX('2kob.'!B3:G28,MATCH(23,B4:B29,0),3)</f>
        <v>2264</v>
      </c>
      <c r="F26" s="6">
        <f>INDEX('2kob.'!B3:G28,MATCH(23,B4:B29,0),4)</f>
        <v>18</v>
      </c>
      <c r="G26" s="61">
        <f>INDEX('2kob.'!B3:G28,MATCH(23,B4:B29,0),5)</f>
        <v>2486</v>
      </c>
      <c r="H26" s="6">
        <f>INDEX('2kob.'!B3:G28,MATCH(23,B4:B29,0),6)</f>
        <v>-204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2595</v>
      </c>
      <c r="E27" s="61">
        <f>INDEX('2kob.'!B3:G28,MATCH(24,B4:B29,0),3)</f>
        <v>2580</v>
      </c>
      <c r="F27" s="6">
        <f>INDEX('2kob.'!B3:G28,MATCH(24,B4:B29,0),4)</f>
        <v>15</v>
      </c>
      <c r="G27" s="61">
        <f>INDEX('2kob.'!B3:G28,MATCH(24,B4:B29,0),5)</f>
        <v>2902</v>
      </c>
      <c r="H27" s="6">
        <f>INDEX('2kob.'!B3:G28,MATCH(24,B4:B29,0),6)</f>
        <v>-307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2858</v>
      </c>
      <c r="E28" s="61">
        <f>INDEX('2kob.'!B3:G28,MATCH(25,B4:B29,0),3)</f>
        <v>2795</v>
      </c>
      <c r="F28" s="6">
        <f>INDEX('2kob.'!B3:G28,MATCH(25,B4:B29,0),4)</f>
        <v>63</v>
      </c>
      <c r="G28" s="61">
        <f>INDEX('2kob.'!B3:G28,MATCH(25,B4:B29,0),5)</f>
        <v>2833</v>
      </c>
      <c r="H28" s="6">
        <f>INDEX('2kob.'!B3:G28,MATCH(25,B4:B29,0),6)</f>
        <v>25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34277</v>
      </c>
      <c r="E29" s="63">
        <f>INDEX('2kob.'!B3:G28,MATCH(26,B4:B29,0),3)</f>
        <v>34067</v>
      </c>
      <c r="F29" s="59">
        <f>INDEX('2kob.'!B3:G28,MATCH(26,B4:B29,0),4)</f>
        <v>210</v>
      </c>
      <c r="G29" s="63">
        <f>INDEX('2kob.'!B3:G28,MATCH(26,B4:B29,0),5)</f>
        <v>35980</v>
      </c>
      <c r="H29" s="59">
        <f>INDEX('2kob.'!B3:G28,MATCH(26,B4:B29,0),6)</f>
        <v>-1703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3" width="21.140625" style="3" customWidth="1"/>
    <col min="4" max="4" width="19.7109375" style="3" customWidth="1"/>
    <col min="5" max="5" width="15.28515625" style="3" customWidth="1"/>
    <col min="6" max="6" width="19" style="3" customWidth="1"/>
    <col min="7" max="7" width="14.7109375" style="3" customWidth="1"/>
    <col min="8" max="8" width="7.85546875" style="25" customWidth="1"/>
    <col min="9" max="9" width="29.85546875" style="3" customWidth="1"/>
    <col min="10" max="16384" width="9.140625" style="3"/>
  </cols>
  <sheetData>
    <row r="1" spans="1:9" ht="15" customHeight="1" x14ac:dyDescent="0.2">
      <c r="B1" s="2" t="s">
        <v>87</v>
      </c>
    </row>
    <row r="2" spans="1:9" ht="71.25" x14ac:dyDescent="0.2">
      <c r="B2" s="65" t="s">
        <v>27</v>
      </c>
      <c r="C2" s="65" t="s">
        <v>132</v>
      </c>
      <c r="D2" s="66" t="s">
        <v>131</v>
      </c>
      <c r="E2" s="65" t="s">
        <v>80</v>
      </c>
      <c r="F2" s="66" t="s">
        <v>133</v>
      </c>
      <c r="G2" s="65" t="s">
        <v>115</v>
      </c>
    </row>
    <row r="3" spans="1:9" ht="15" x14ac:dyDescent="0.2">
      <c r="A3" s="25">
        <v>1</v>
      </c>
      <c r="B3" s="26" t="s">
        <v>33</v>
      </c>
      <c r="C3" s="27">
        <v>5</v>
      </c>
      <c r="D3" s="68">
        <v>5</v>
      </c>
      <c r="E3" s="27">
        <f t="shared" ref="E3:E19" si="0">SUM(C3)-D3</f>
        <v>0</v>
      </c>
      <c r="F3" s="68">
        <v>5.0999999999999996</v>
      </c>
      <c r="G3" s="27">
        <f>SUM(C3)-F3</f>
        <v>-9.9999999999999645E-2</v>
      </c>
      <c r="H3" s="28"/>
    </row>
    <row r="4" spans="1:9" ht="15" x14ac:dyDescent="0.25">
      <c r="A4" s="25">
        <v>2</v>
      </c>
      <c r="B4" s="29" t="s">
        <v>34</v>
      </c>
      <c r="C4" s="30">
        <v>4.4000000000000004</v>
      </c>
      <c r="D4" s="67">
        <v>4.3</v>
      </c>
      <c r="E4" s="30">
        <f t="shared" si="0"/>
        <v>0.10000000000000053</v>
      </c>
      <c r="F4" s="67">
        <v>4.4000000000000004</v>
      </c>
      <c r="G4" s="30">
        <f t="shared" ref="G4:G19" si="1">SUM(C4)-F4</f>
        <v>0</v>
      </c>
      <c r="H4" s="28"/>
      <c r="I4" s="182" t="s">
        <v>34</v>
      </c>
    </row>
    <row r="5" spans="1:9" ht="15" x14ac:dyDescent="0.25">
      <c r="A5" s="25">
        <v>3</v>
      </c>
      <c r="B5" s="29" t="s">
        <v>35</v>
      </c>
      <c r="C5" s="31">
        <v>6.9</v>
      </c>
      <c r="D5" s="67">
        <v>6.8</v>
      </c>
      <c r="E5" s="31">
        <f t="shared" si="0"/>
        <v>0.10000000000000053</v>
      </c>
      <c r="F5" s="67">
        <v>7.2</v>
      </c>
      <c r="G5" s="30">
        <f t="shared" si="1"/>
        <v>-0.29999999999999982</v>
      </c>
      <c r="H5" s="28"/>
      <c r="I5" s="183" t="s">
        <v>35</v>
      </c>
    </row>
    <row r="6" spans="1:9" ht="15" x14ac:dyDescent="0.25">
      <c r="A6" s="25">
        <v>4</v>
      </c>
      <c r="B6" s="29" t="s">
        <v>36</v>
      </c>
      <c r="C6" s="30">
        <v>7.3</v>
      </c>
      <c r="D6" s="67">
        <v>7.3</v>
      </c>
      <c r="E6" s="30">
        <f t="shared" si="0"/>
        <v>0</v>
      </c>
      <c r="F6" s="67">
        <v>7.9</v>
      </c>
      <c r="G6" s="30">
        <f t="shared" si="1"/>
        <v>-0.60000000000000053</v>
      </c>
      <c r="H6" s="28"/>
      <c r="I6" s="183" t="s">
        <v>36</v>
      </c>
    </row>
    <row r="7" spans="1:9" ht="15" x14ac:dyDescent="0.25">
      <c r="A7" s="25">
        <v>5</v>
      </c>
      <c r="B7" s="29" t="s">
        <v>37</v>
      </c>
      <c r="C7" s="30">
        <v>4.3</v>
      </c>
      <c r="D7" s="67">
        <v>4.3</v>
      </c>
      <c r="E7" s="30">
        <f t="shared" si="0"/>
        <v>0</v>
      </c>
      <c r="F7" s="67">
        <v>4.3</v>
      </c>
      <c r="G7" s="30">
        <f t="shared" si="1"/>
        <v>0</v>
      </c>
      <c r="H7" s="28"/>
      <c r="I7" s="184" t="s">
        <v>37</v>
      </c>
    </row>
    <row r="8" spans="1:9" ht="15" x14ac:dyDescent="0.25">
      <c r="A8" s="25">
        <v>6</v>
      </c>
      <c r="B8" s="29" t="s">
        <v>38</v>
      </c>
      <c r="C8" s="30">
        <v>5.3</v>
      </c>
      <c r="D8" s="67">
        <v>5.3</v>
      </c>
      <c r="E8" s="30">
        <f t="shared" si="0"/>
        <v>0</v>
      </c>
      <c r="F8" s="67">
        <v>5.4</v>
      </c>
      <c r="G8" s="30">
        <f t="shared" si="1"/>
        <v>-0.10000000000000053</v>
      </c>
      <c r="H8" s="28"/>
      <c r="I8" s="182" t="s">
        <v>38</v>
      </c>
    </row>
    <row r="9" spans="1:9" ht="15" x14ac:dyDescent="0.25">
      <c r="A9" s="25">
        <v>7</v>
      </c>
      <c r="B9" s="29" t="s">
        <v>39</v>
      </c>
      <c r="C9" s="30">
        <v>4.0999999999999996</v>
      </c>
      <c r="D9" s="67">
        <v>4.0999999999999996</v>
      </c>
      <c r="E9" s="30">
        <f t="shared" si="0"/>
        <v>0</v>
      </c>
      <c r="F9" s="67">
        <v>4.5</v>
      </c>
      <c r="G9" s="30">
        <f t="shared" si="1"/>
        <v>-0.40000000000000036</v>
      </c>
      <c r="H9" s="28"/>
      <c r="I9" s="182" t="s">
        <v>39</v>
      </c>
    </row>
    <row r="10" spans="1:9" ht="15" x14ac:dyDescent="0.25">
      <c r="A10" s="25">
        <v>8</v>
      </c>
      <c r="B10" s="29" t="s">
        <v>40</v>
      </c>
      <c r="C10" s="30">
        <v>4.0999999999999996</v>
      </c>
      <c r="D10" s="67">
        <v>4.0999999999999996</v>
      </c>
      <c r="E10" s="30">
        <f t="shared" si="0"/>
        <v>0</v>
      </c>
      <c r="F10" s="67">
        <v>4.2</v>
      </c>
      <c r="G10" s="30">
        <f t="shared" si="1"/>
        <v>-0.10000000000000053</v>
      </c>
      <c r="H10" s="28"/>
      <c r="I10" s="182" t="s">
        <v>40</v>
      </c>
    </row>
    <row r="11" spans="1:9" ht="15" x14ac:dyDescent="0.25">
      <c r="A11" s="25">
        <v>9</v>
      </c>
      <c r="B11" s="29" t="s">
        <v>41</v>
      </c>
      <c r="C11" s="30">
        <v>5.6</v>
      </c>
      <c r="D11" s="67">
        <v>5.6</v>
      </c>
      <c r="E11" s="30">
        <f t="shared" si="0"/>
        <v>0</v>
      </c>
      <c r="F11" s="67">
        <v>5.9</v>
      </c>
      <c r="G11" s="30">
        <f t="shared" si="1"/>
        <v>-0.30000000000000071</v>
      </c>
      <c r="H11" s="28"/>
      <c r="I11" s="182" t="s">
        <v>41</v>
      </c>
    </row>
    <row r="12" spans="1:9" ht="15" x14ac:dyDescent="0.2">
      <c r="A12" s="25">
        <v>10</v>
      </c>
      <c r="B12" s="26" t="s">
        <v>42</v>
      </c>
      <c r="C12" s="27">
        <v>8.4</v>
      </c>
      <c r="D12" s="68">
        <v>8.3000000000000007</v>
      </c>
      <c r="E12" s="27">
        <f t="shared" si="0"/>
        <v>9.9999999999999645E-2</v>
      </c>
      <c r="F12" s="68">
        <v>8.6999999999999993</v>
      </c>
      <c r="G12" s="27">
        <f>SUM(C12)-F12</f>
        <v>-0.29999999999999893</v>
      </c>
      <c r="H12" s="28"/>
      <c r="I12" s="185" t="s">
        <v>42</v>
      </c>
    </row>
    <row r="13" spans="1:9" ht="15" x14ac:dyDescent="0.25">
      <c r="A13" s="25">
        <v>11</v>
      </c>
      <c r="B13" s="29" t="s">
        <v>43</v>
      </c>
      <c r="C13" s="30">
        <v>6.8</v>
      </c>
      <c r="D13" s="67">
        <v>6.8</v>
      </c>
      <c r="E13" s="30">
        <f t="shared" si="0"/>
        <v>0</v>
      </c>
      <c r="F13" s="67">
        <v>7.2</v>
      </c>
      <c r="G13" s="30">
        <f t="shared" si="1"/>
        <v>-0.40000000000000036</v>
      </c>
      <c r="H13" s="28"/>
      <c r="I13" s="182" t="s">
        <v>43</v>
      </c>
    </row>
    <row r="14" spans="1:9" ht="15" x14ac:dyDescent="0.25">
      <c r="A14" s="25">
        <v>12</v>
      </c>
      <c r="B14" s="29" t="s">
        <v>44</v>
      </c>
      <c r="C14" s="30">
        <v>4.5999999999999996</v>
      </c>
      <c r="D14" s="67">
        <v>4.5999999999999996</v>
      </c>
      <c r="E14" s="30">
        <f t="shared" si="0"/>
        <v>0</v>
      </c>
      <c r="F14" s="67">
        <v>4.5</v>
      </c>
      <c r="G14" s="30">
        <f t="shared" si="1"/>
        <v>9.9999999999999645E-2</v>
      </c>
      <c r="H14" s="28"/>
      <c r="I14" s="182" t="s">
        <v>44</v>
      </c>
    </row>
    <row r="15" spans="1:9" ht="15" x14ac:dyDescent="0.25">
      <c r="A15" s="25">
        <v>13</v>
      </c>
      <c r="B15" s="29" t="s">
        <v>45</v>
      </c>
      <c r="C15" s="30">
        <v>3.5</v>
      </c>
      <c r="D15" s="67">
        <v>3.6</v>
      </c>
      <c r="E15" s="30">
        <f t="shared" si="0"/>
        <v>-0.10000000000000009</v>
      </c>
      <c r="F15" s="67">
        <v>3.6</v>
      </c>
      <c r="G15" s="30">
        <f t="shared" si="1"/>
        <v>-0.10000000000000009</v>
      </c>
      <c r="H15" s="28"/>
      <c r="I15" s="182" t="s">
        <v>45</v>
      </c>
    </row>
    <row r="16" spans="1:9" ht="15" x14ac:dyDescent="0.25">
      <c r="A16" s="25">
        <v>14</v>
      </c>
      <c r="B16" s="29" t="s">
        <v>46</v>
      </c>
      <c r="C16" s="30">
        <v>7.5</v>
      </c>
      <c r="D16" s="67">
        <v>7.5</v>
      </c>
      <c r="E16" s="30">
        <f t="shared" si="0"/>
        <v>0</v>
      </c>
      <c r="F16" s="67">
        <v>7.5</v>
      </c>
      <c r="G16" s="30">
        <f t="shared" si="1"/>
        <v>0</v>
      </c>
      <c r="H16" s="28"/>
      <c r="I16" s="182" t="s">
        <v>46</v>
      </c>
    </row>
    <row r="17" spans="1:9" ht="15" x14ac:dyDescent="0.25">
      <c r="A17" s="25">
        <v>15</v>
      </c>
      <c r="B17" s="29" t="s">
        <v>47</v>
      </c>
      <c r="C17" s="30">
        <v>8</v>
      </c>
      <c r="D17" s="67">
        <v>7.9</v>
      </c>
      <c r="E17" s="30">
        <f t="shared" si="0"/>
        <v>9.9999999999999645E-2</v>
      </c>
      <c r="F17" s="67">
        <v>8.5</v>
      </c>
      <c r="G17" s="30">
        <f t="shared" si="1"/>
        <v>-0.5</v>
      </c>
      <c r="H17" s="28"/>
      <c r="I17" s="182" t="s">
        <v>121</v>
      </c>
    </row>
    <row r="18" spans="1:9" ht="15" x14ac:dyDescent="0.25">
      <c r="A18" s="25">
        <v>16</v>
      </c>
      <c r="B18" s="29" t="s">
        <v>48</v>
      </c>
      <c r="C18" s="30">
        <v>2.9</v>
      </c>
      <c r="D18" s="67">
        <v>3</v>
      </c>
      <c r="E18" s="30">
        <f t="shared" si="0"/>
        <v>-0.10000000000000009</v>
      </c>
      <c r="F18" s="67">
        <v>2.9</v>
      </c>
      <c r="G18" s="30">
        <f t="shared" si="1"/>
        <v>0</v>
      </c>
      <c r="H18" s="28"/>
      <c r="I18" s="182" t="s">
        <v>48</v>
      </c>
    </row>
    <row r="19" spans="1:9" ht="15" x14ac:dyDescent="0.25">
      <c r="A19" s="25">
        <v>17</v>
      </c>
      <c r="B19" s="29" t="s">
        <v>49</v>
      </c>
      <c r="C19" s="30">
        <v>6.6</v>
      </c>
      <c r="D19" s="67">
        <v>6.5</v>
      </c>
      <c r="E19" s="30">
        <f t="shared" si="0"/>
        <v>9.9999999999999645E-2</v>
      </c>
      <c r="F19" s="67">
        <v>6.6</v>
      </c>
      <c r="G19" s="30">
        <f t="shared" si="1"/>
        <v>0</v>
      </c>
      <c r="H19" s="28"/>
      <c r="I19" s="182" t="s">
        <v>49</v>
      </c>
    </row>
    <row r="20" spans="1:9" ht="12.75" customHeight="1" x14ac:dyDescent="0.2">
      <c r="B20" s="52" t="s">
        <v>122</v>
      </c>
    </row>
    <row r="21" spans="1:9" ht="13.5" customHeight="1" x14ac:dyDescent="0.2">
      <c r="B21" s="162"/>
    </row>
    <row r="22" spans="1:9" x14ac:dyDescent="0.2">
      <c r="B22" s="52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87</v>
      </c>
    </row>
    <row r="2" spans="1:8" ht="15" x14ac:dyDescent="0.2">
      <c r="C2" s="20"/>
      <c r="D2" s="21"/>
    </row>
    <row r="3" spans="1:8" ht="71.25" x14ac:dyDescent="0.2">
      <c r="B3" s="62" t="s">
        <v>86</v>
      </c>
      <c r="C3" s="55" t="str">
        <f>T('3s.bezr.Pol'!B2)</f>
        <v>powiaty</v>
      </c>
      <c r="D3" s="55" t="str">
        <f>T('3s.bezr.Pol'!C2)</f>
        <v>Stopa bezrobocia stan na 30 XI '23 r. (w proc.)*</v>
      </c>
      <c r="E3" s="55" t="str">
        <f>T('3s.bezr.Pol'!D2)</f>
        <v>Stopa bezrobocia stan na 31 X '23 r. (w proc.)*</v>
      </c>
      <c r="F3" s="66" t="str">
        <f>T('3s.bezr.Pol'!E2)</f>
        <v>wzrost lub spadek do poprzedniego miesiąca (pkt. proc.)</v>
      </c>
      <c r="G3" s="186" t="str">
        <f>T('3s.bezr.Pol'!F2)</f>
        <v>Stopa bezrobocia stan na 30 XI '22 r. (w proc.)*</v>
      </c>
      <c r="H3" s="66" t="str">
        <f>T('3s.bezr.Pol'!G2)</f>
        <v>wzrost lub spadek do początku roku (pkt. proc.)</v>
      </c>
    </row>
    <row r="4" spans="1:8" x14ac:dyDescent="0.2">
      <c r="A4" s="3">
        <v>1</v>
      </c>
      <c r="B4" s="6">
        <f>RANK('3s.bezr.Pol'!C3,'3s.bezr.Pol'!$C$3:'3s.bezr.Pol'!$C$19,1)+COUNTIF('3s.bezr.Pol'!$C$3:'3s.bezr.Pol'!C3,'3s.bezr.Pol'!C3)-1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2.9</v>
      </c>
      <c r="E4" s="31">
        <f>INDEX('3s.bezr.Pol'!B3:G19,MATCH(1,B4:B20,0),3)</f>
        <v>3</v>
      </c>
      <c r="F4" s="67">
        <f>INDEX('3s.bezr.Pol'!B3:G19,MATCH(1,B4:B20,0),4)</f>
        <v>-0.10000000000000009</v>
      </c>
      <c r="G4" s="31">
        <f>INDEX('3s.bezr.Pol'!B3:G19,MATCH(1,B4:B20,0),5)</f>
        <v>2.9</v>
      </c>
      <c r="H4" s="67">
        <f>INDEX('3s.bezr.Pol'!B3:G19,MATCH(1,B4:B20,0),6)</f>
        <v>0</v>
      </c>
    </row>
    <row r="5" spans="1:8" x14ac:dyDescent="0.2">
      <c r="A5" s="3">
        <v>2</v>
      </c>
      <c r="B5" s="6">
        <f>RANK('3s.bezr.Pol'!C4,'3s.bezr.Pol'!$C$3:'3s.bezr.Pol'!$C$19,1)+COUNTIF('3s.bezr.Pol'!$C$3:'3s.bezr.Pol'!C4,'3s.bezr.Pol'!C4)-1</f>
        <v>6</v>
      </c>
      <c r="C5" s="5" t="str">
        <f>INDEX('3s.bezr.Pol'!B3:G19,MATCH(2,B4:B20,0),1)</f>
        <v>ŚLĄSKIE</v>
      </c>
      <c r="D5" s="8">
        <f>INDEX('3s.bezr.Pol'!B3:G19,MATCH(2,B4:B20,0),2)</f>
        <v>3.5</v>
      </c>
      <c r="E5" s="31">
        <f>INDEX('3s.bezr.Pol'!B3:G19,MATCH(2,B4:B20,0),3)</f>
        <v>3.6</v>
      </c>
      <c r="F5" s="67">
        <f>INDEX('3s.bezr.Pol'!B3:G19,MATCH(2,B4:B20,0),4)</f>
        <v>-0.10000000000000009</v>
      </c>
      <c r="G5" s="31">
        <f>INDEX('3s.bezr.Pol'!B3:G19,MATCH(2,B4:B20,0),5)</f>
        <v>3.6</v>
      </c>
      <c r="H5" s="67">
        <f>INDEX('3s.bezr.Pol'!B3:G19,MATCH(2,B4:B20,0),6)</f>
        <v>-0.10000000000000009</v>
      </c>
    </row>
    <row r="6" spans="1:8" x14ac:dyDescent="0.2">
      <c r="A6" s="3">
        <v>3</v>
      </c>
      <c r="B6" s="6">
        <f>RANK('3s.bezr.Pol'!C5,'3s.bezr.Pol'!$C$3:'3s.bezr.Pol'!$C$19,1)+COUNTIF('3s.bezr.Pol'!$C$3:'3s.bezr.Pol'!C5,'3s.bezr.Pol'!C5)-1</f>
        <v>13</v>
      </c>
      <c r="C6" s="5" t="str">
        <f>INDEX('3s.bezr.Pol'!B3:G19,MATCH(3,B4:B20,0),1)</f>
        <v>MAŁOPOLSKIE</v>
      </c>
      <c r="D6" s="8">
        <f>INDEX('3s.bezr.Pol'!B3:G19,MATCH(3,B4:B20,0),2)</f>
        <v>4.0999999999999996</v>
      </c>
      <c r="E6" s="31">
        <f>INDEX('3s.bezr.Pol'!B3:G19,MATCH(3,B4:B20,0),3)</f>
        <v>4.0999999999999996</v>
      </c>
      <c r="F6" s="67">
        <f>INDEX('3s.bezr.Pol'!B3:G19,MATCH(3,B4:B20,0),4)</f>
        <v>0</v>
      </c>
      <c r="G6" s="31">
        <f>INDEX('3s.bezr.Pol'!B3:G19,MATCH(3,B4:B20,0),5)</f>
        <v>4.5</v>
      </c>
      <c r="H6" s="67">
        <f>INDEX('3s.bezr.Pol'!B3:G19,MATCH(3,B4:B20,0),6)</f>
        <v>-0.40000000000000036</v>
      </c>
    </row>
    <row r="7" spans="1:8" x14ac:dyDescent="0.2">
      <c r="A7" s="3">
        <v>4</v>
      </c>
      <c r="B7" s="6">
        <f>RANK('3s.bezr.Pol'!C6,'3s.bezr.Pol'!$C$3:'3s.bezr.Pol'!$C$19,1)+COUNTIF('3s.bezr.Pol'!$C$3:'3s.bezr.Pol'!C6,'3s.bezr.Pol'!C6)-1</f>
        <v>14</v>
      </c>
      <c r="C7" s="5" t="str">
        <f>INDEX('3s.bezr.Pol'!B3:G19,MATCH(4,B4:B20,0),1)</f>
        <v>MAZOWIECKIE</v>
      </c>
      <c r="D7" s="8">
        <f>INDEX('3s.bezr.Pol'!B3:G19,MATCH(4,B4:B20,0),2)</f>
        <v>4.0999999999999996</v>
      </c>
      <c r="E7" s="31">
        <f>INDEX('3s.bezr.Pol'!B3:G19,MATCH(4,B4:B20,0),3)</f>
        <v>4.0999999999999996</v>
      </c>
      <c r="F7" s="67">
        <f>INDEX('3s.bezr.Pol'!B3:G19,MATCH(4,B4:B20,0),4)</f>
        <v>0</v>
      </c>
      <c r="G7" s="31">
        <f>INDEX('3s.bezr.Pol'!B3:G19,MATCH(4,B4:B20,0),5)</f>
        <v>4.2</v>
      </c>
      <c r="H7" s="67">
        <f>INDEX('3s.bezr.Pol'!B3:G19,MATCH(4,B4:B20,0),6)</f>
        <v>-0.10000000000000053</v>
      </c>
    </row>
    <row r="8" spans="1:8" x14ac:dyDescent="0.2">
      <c r="A8" s="3">
        <v>5</v>
      </c>
      <c r="B8" s="6">
        <f>RANK('3s.bezr.Pol'!C7,'3s.bezr.Pol'!$C$3:'3s.bezr.Pol'!$C$19,1)+COUNTIF('3s.bezr.Pol'!$C$3:'3s.bezr.Pol'!C7,'3s.bezr.Pol'!C7)-1</f>
        <v>5</v>
      </c>
      <c r="C8" s="5" t="str">
        <f>INDEX('3s.bezr.Pol'!B3:G19,MATCH(5,B4:B20,0),1)</f>
        <v>LUBUSKIE</v>
      </c>
      <c r="D8" s="8">
        <f>INDEX('3s.bezr.Pol'!B3:G19,MATCH(5,B4:B20,0),2)</f>
        <v>4.3</v>
      </c>
      <c r="E8" s="31">
        <f>INDEX('3s.bezr.Pol'!B3:G19,MATCH(5,B4:B20,0),3)</f>
        <v>4.3</v>
      </c>
      <c r="F8" s="67">
        <f>INDEX('3s.bezr.Pol'!B3:G19,MATCH(5,B4:B20,0),4)</f>
        <v>0</v>
      </c>
      <c r="G8" s="31">
        <f>INDEX('3s.bezr.Pol'!B3:G19,MATCH(5,B4:B20,0),5)</f>
        <v>4.3</v>
      </c>
      <c r="H8" s="67">
        <f>INDEX('3s.bezr.Pol'!B3:G19,MATCH(5,B4:B20,0),6)</f>
        <v>0</v>
      </c>
    </row>
    <row r="9" spans="1:8" x14ac:dyDescent="0.2">
      <c r="A9" s="3">
        <v>6</v>
      </c>
      <c r="B9" s="6">
        <f>RANK('3s.bezr.Pol'!C8,'3s.bezr.Pol'!$C$3:'3s.bezr.Pol'!$C$19,1)+COUNTIF('3s.bezr.Pol'!$C$3:'3s.bezr.Pol'!C8,'3s.bezr.Pol'!C8)-1</f>
        <v>9</v>
      </c>
      <c r="C9" s="5" t="str">
        <f>INDEX('3s.bezr.Pol'!B3:G19,MATCH(6,B4:B20,0),1)</f>
        <v>DOLNOŚLĄSKIE</v>
      </c>
      <c r="D9" s="8">
        <f>INDEX('3s.bezr.Pol'!B3:G19,MATCH(6,B4:B20,0),2)</f>
        <v>4.4000000000000004</v>
      </c>
      <c r="E9" s="31">
        <f>INDEX('3s.bezr.Pol'!B3:G19,MATCH(6,B4:B20,0),3)</f>
        <v>4.3</v>
      </c>
      <c r="F9" s="67">
        <f>INDEX('3s.bezr.Pol'!B3:G19,MATCH(6,B4:B20,0),4)</f>
        <v>0.10000000000000053</v>
      </c>
      <c r="G9" s="31">
        <f>INDEX('3s.bezr.Pol'!B3:G19,MATCH(6,B4:B20,0),5)</f>
        <v>4.4000000000000004</v>
      </c>
      <c r="H9" s="67">
        <f>INDEX('3s.bezr.Pol'!B3:G19,MATCH(6,B4:B20,0),6)</f>
        <v>0</v>
      </c>
    </row>
    <row r="10" spans="1:8" x14ac:dyDescent="0.2">
      <c r="A10" s="3">
        <v>7</v>
      </c>
      <c r="B10" s="6">
        <f>RANK('3s.bezr.Pol'!C9,'3s.bezr.Pol'!$C$3:'3s.bezr.Pol'!$C$19,1)+COUNTIF('3s.bezr.Pol'!$C$3:'3s.bezr.Pol'!C9,'3s.bezr.Pol'!C9)-1</f>
        <v>3</v>
      </c>
      <c r="C10" s="9" t="str">
        <f>INDEX('3s.bezr.Pol'!B3:G19,MATCH(7,B4:B20,0),1)</f>
        <v>POMORSKIE</v>
      </c>
      <c r="D10" s="8">
        <f>INDEX('3s.bezr.Pol'!B3:G19,MATCH(7,B4:B20,0),2)</f>
        <v>4.5999999999999996</v>
      </c>
      <c r="E10" s="31">
        <f>INDEX('3s.bezr.Pol'!B3:G19,MATCH(7,B4:B20,0),3)</f>
        <v>4.5999999999999996</v>
      </c>
      <c r="F10" s="67">
        <f>INDEX('3s.bezr.Pol'!B3:G19,MATCH(7,B4:B20,0),4)</f>
        <v>0</v>
      </c>
      <c r="G10" s="31">
        <f>INDEX('3s.bezr.Pol'!B3:G19,MATCH(7,B4:B20,0),5)</f>
        <v>4.5</v>
      </c>
      <c r="H10" s="67">
        <f>INDEX('3s.bezr.Pol'!B3:G19,MATCH(7,B4:B20,0),6)</f>
        <v>9.9999999999999645E-2</v>
      </c>
    </row>
    <row r="11" spans="1:8" ht="15" x14ac:dyDescent="0.25">
      <c r="A11" s="3">
        <v>8</v>
      </c>
      <c r="B11" s="22">
        <f>RANK('3s.bezr.Pol'!C10,'3s.bezr.Pol'!$C$3:'3s.bezr.Pol'!$C$19,1)+COUNTIF('3s.bezr.Pol'!$C$3:'3s.bezr.Pol'!C10,'3s.bezr.Pol'!C10)-1</f>
        <v>4</v>
      </c>
      <c r="C11" s="41" t="str">
        <f>INDEX('3s.bezr.Pol'!B3:G19,MATCH(8,B4:B20,0),1)</f>
        <v>POLSKA</v>
      </c>
      <c r="D11" s="34">
        <f>INDEX('3s.bezr.Pol'!B3:G19,MATCH(8,B4:B20,0),2)</f>
        <v>5</v>
      </c>
      <c r="E11" s="51">
        <f>INDEX('3s.bezr.Pol'!B3:G19,MATCH(8,B4:B20,0),3)</f>
        <v>5</v>
      </c>
      <c r="F11" s="68">
        <f>INDEX('3s.bezr.Pol'!B3:G19,MATCH(8,B4:B20,0),4)</f>
        <v>0</v>
      </c>
      <c r="G11" s="51">
        <f>INDEX('3s.bezr.Pol'!B3:G19,MATCH(8,B4:B20,0),5)</f>
        <v>5.0999999999999996</v>
      </c>
      <c r="H11" s="68">
        <f>INDEX('3s.bezr.Pol'!B3:G19,MATCH(8,B4:B20,0),6)</f>
        <v>-9.9999999999999645E-2</v>
      </c>
    </row>
    <row r="12" spans="1:8" x14ac:dyDescent="0.2">
      <c r="A12" s="3">
        <v>9</v>
      </c>
      <c r="B12" s="6">
        <f>RANK('3s.bezr.Pol'!C11,'3s.bezr.Pol'!$C$3:'3s.bezr.Pol'!$C$19,1)+COUNTIF('3s.bezr.Pol'!$C$3:'3s.bezr.Pol'!C11,'3s.bezr.Pol'!C11)-1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5.3</v>
      </c>
      <c r="E12" s="31">
        <f>INDEX('3s.bezr.Pol'!B3:G19,MATCH(9,B4:B20,0),3)</f>
        <v>5.3</v>
      </c>
      <c r="F12" s="67">
        <f>INDEX('3s.bezr.Pol'!B3:G19,MATCH(9,B4:B20,0),4)</f>
        <v>0</v>
      </c>
      <c r="G12" s="31">
        <f>INDEX('3s.bezr.Pol'!B3:G19,MATCH(9,B4:B20,0),5)</f>
        <v>5.4</v>
      </c>
      <c r="H12" s="67">
        <f>INDEX('3s.bezr.Pol'!B3:G19,MATCH(9,B4:B20,0),6)</f>
        <v>-0.10000000000000053</v>
      </c>
    </row>
    <row r="13" spans="1:8" x14ac:dyDescent="0.2">
      <c r="A13" s="3">
        <v>10</v>
      </c>
      <c r="B13" s="6">
        <f>RANK('3s.bezr.Pol'!C12,'3s.bezr.Pol'!$C$3:'3s.bezr.Pol'!$C$19,1)+COUNTIF('3s.bezr.Pol'!$C$3:'3s.bezr.Pol'!C12,'3s.bezr.Pol'!C12)-1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5.6</v>
      </c>
      <c r="E13" s="31">
        <f>INDEX('3s.bezr.Pol'!B3:G19,MATCH(10,B4:B20,0),3)</f>
        <v>5.6</v>
      </c>
      <c r="F13" s="67">
        <f>INDEX('3s.bezr.Pol'!B3:G19,MATCH(10,B4:B20,0),4)</f>
        <v>0</v>
      </c>
      <c r="G13" s="31">
        <f>INDEX('3s.bezr.Pol'!B3:G19,MATCH(10,B4:B20,0),5)</f>
        <v>5.9</v>
      </c>
      <c r="H13" s="67">
        <f>INDEX('3s.bezr.Pol'!B3:G19,MATCH(10,B4:B20,0),6)</f>
        <v>-0.30000000000000071</v>
      </c>
    </row>
    <row r="14" spans="1:8" x14ac:dyDescent="0.2">
      <c r="A14" s="3">
        <v>11</v>
      </c>
      <c r="B14" s="6">
        <f>RANK('3s.bezr.Pol'!C13,'3s.bezr.Pol'!$C$3:'3s.bezr.Pol'!$C$19,1)+COUNTIF('3s.bezr.Pol'!$C$3:'3s.bezr.Pol'!C13,'3s.bezr.Pol'!C13)-1</f>
        <v>12</v>
      </c>
      <c r="C14" s="5" t="str">
        <f>INDEX('3s.bezr.Pol'!B3:G19,MATCH(11,B4:B20,0),1)</f>
        <v>ZACHODNIOPOMORSKIE</v>
      </c>
      <c r="D14" s="8">
        <f>INDEX('3s.bezr.Pol'!B3:G19,MATCH(11,B4:B20,0),2)</f>
        <v>6.6</v>
      </c>
      <c r="E14" s="31">
        <f>INDEX('3s.bezr.Pol'!B3:G19,MATCH(11,B4:B20,0),3)</f>
        <v>6.5</v>
      </c>
      <c r="F14" s="67">
        <f>INDEX('3s.bezr.Pol'!B3:G19,MATCH(11,B4:B20,0),4)</f>
        <v>9.9999999999999645E-2</v>
      </c>
      <c r="G14" s="31">
        <f>INDEX('3s.bezr.Pol'!B3:G19,MATCH(11,B4:B20,0),5)</f>
        <v>6.6</v>
      </c>
      <c r="H14" s="67">
        <f>INDEX('3s.bezr.Pol'!B3:G19,MATCH(11,B4:B20,0),6)</f>
        <v>0</v>
      </c>
    </row>
    <row r="15" spans="1:8" x14ac:dyDescent="0.2">
      <c r="A15" s="3">
        <v>12</v>
      </c>
      <c r="B15" s="6">
        <f>RANK('3s.bezr.Pol'!C14,'3s.bezr.Pol'!$C$3:'3s.bezr.Pol'!$C$19,1)+COUNTIF('3s.bezr.Pol'!$C$3:'3s.bezr.Pol'!C14,'3s.bezr.Pol'!C14)-1</f>
        <v>7</v>
      </c>
      <c r="C15" s="5" t="str">
        <f>INDEX('3s.bezr.Pol'!B3:G19,MATCH(12,B4:B20,0),1)</f>
        <v>PODLASKIE</v>
      </c>
      <c r="D15" s="8">
        <f>INDEX('3s.bezr.Pol'!B3:G19,MATCH(12,B4:B20,0),2)</f>
        <v>6.8</v>
      </c>
      <c r="E15" s="31">
        <f>INDEX('3s.bezr.Pol'!B3:G19,MATCH(12,B4:B20,0),3)</f>
        <v>6.8</v>
      </c>
      <c r="F15" s="67">
        <f>INDEX('3s.bezr.Pol'!B3:G19,MATCH(12,B4:B20,0),4)</f>
        <v>0</v>
      </c>
      <c r="G15" s="31">
        <f>INDEX('3s.bezr.Pol'!B3:G19,MATCH(12,B4:B20,0),5)</f>
        <v>7.2</v>
      </c>
      <c r="H15" s="67">
        <f>INDEX('3s.bezr.Pol'!B3:G19,MATCH(12,B4:B20,0),6)</f>
        <v>-0.40000000000000036</v>
      </c>
    </row>
    <row r="16" spans="1:8" x14ac:dyDescent="0.2">
      <c r="A16" s="3">
        <v>13</v>
      </c>
      <c r="B16" s="6">
        <f>RANK('3s.bezr.Pol'!C15,'3s.bezr.Pol'!$C$3:'3s.bezr.Pol'!$C$19,1)+COUNTIF('3s.bezr.Pol'!$C$3:'3s.bezr.Pol'!C15,'3s.bezr.Pol'!C15)-1</f>
        <v>2</v>
      </c>
      <c r="C16" s="5" t="str">
        <f>INDEX('3s.bezr.Pol'!B3:G19,MATCH(13,B4:B20,0),1)</f>
        <v>KUJAWSKO-POMORSKIE</v>
      </c>
      <c r="D16" s="8">
        <f>INDEX('3s.bezr.Pol'!B3:G19,MATCH(13,B4:B20,0),2)</f>
        <v>6.9</v>
      </c>
      <c r="E16" s="31">
        <f>INDEX('3s.bezr.Pol'!B3:G19,MATCH(13,B4:B20,0),3)</f>
        <v>6.8</v>
      </c>
      <c r="F16" s="67">
        <f>INDEX('3s.bezr.Pol'!B3:G19,MATCH(13,B4:B20,0),4)</f>
        <v>0.10000000000000053</v>
      </c>
      <c r="G16" s="31">
        <f>INDEX('3s.bezr.Pol'!B3:G19,MATCH(13,B4:B20,0),5)</f>
        <v>7.2</v>
      </c>
      <c r="H16" s="67">
        <f>INDEX('3s.bezr.Pol'!B3:G19,MATCH(13,B4:B20,0),6)</f>
        <v>-0.29999999999999982</v>
      </c>
    </row>
    <row r="17" spans="1:8" x14ac:dyDescent="0.2">
      <c r="A17" s="3">
        <v>14</v>
      </c>
      <c r="B17" s="6">
        <f>RANK('3s.bezr.Pol'!C16,'3s.bezr.Pol'!$C$3:'3s.bezr.Pol'!$C$19,1)+COUNTIF('3s.bezr.Pol'!$C$3:'3s.bezr.Pol'!C16,'3s.bezr.Pol'!C16)-1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7.3</v>
      </c>
      <c r="E17" s="31">
        <f>INDEX('3s.bezr.Pol'!B3:G19,MATCH(14,B4:B20,0),3)</f>
        <v>7.3</v>
      </c>
      <c r="F17" s="67">
        <f>INDEX('3s.bezr.Pol'!B3:G19,MATCH(14,B4:B20,0),4)</f>
        <v>0</v>
      </c>
      <c r="G17" s="31">
        <f>INDEX('3s.bezr.Pol'!B3:G19,MATCH(14,B4:B20,0),5)</f>
        <v>7.9</v>
      </c>
      <c r="H17" s="67">
        <f>INDEX('3s.bezr.Pol'!B3:G19,MATCH(14,B4:B20,0),6)</f>
        <v>-0.60000000000000053</v>
      </c>
    </row>
    <row r="18" spans="1:8" x14ac:dyDescent="0.2">
      <c r="A18" s="3">
        <v>15</v>
      </c>
      <c r="B18" s="6">
        <f>RANK('3s.bezr.Pol'!C17,'3s.bezr.Pol'!$C$3:'3s.bezr.Pol'!$C$19,1)+COUNTIF('3s.bezr.Pol'!$C$3:'3s.bezr.Pol'!C17,'3s.bezr.Pol'!C17)-1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7.5</v>
      </c>
      <c r="E18" s="31">
        <f>INDEX('3s.bezr.Pol'!B3:G19,MATCH(15,B4:B20,0),3)</f>
        <v>7.5</v>
      </c>
      <c r="F18" s="67">
        <f>INDEX('3s.bezr.Pol'!B3:G19,MATCH(15,B4:B20,0),4)</f>
        <v>0</v>
      </c>
      <c r="G18" s="31">
        <f>INDEX('3s.bezr.Pol'!B3:G19,MATCH(15,B4:B20,0),5)</f>
        <v>7.5</v>
      </c>
      <c r="H18" s="67">
        <f>INDEX('3s.bezr.Pol'!B3:G19,MATCH(15,B4:B20,0),6)</f>
        <v>0</v>
      </c>
    </row>
    <row r="19" spans="1:8" x14ac:dyDescent="0.2">
      <c r="A19" s="3">
        <v>16</v>
      </c>
      <c r="B19" s="6">
        <f>RANK('3s.bezr.Pol'!C18,'3s.bezr.Pol'!$C$3:'3s.bezr.Pol'!$C$19,1)+COUNTIF('3s.bezr.Pol'!$C$3:'3s.bezr.Pol'!C18,'3s.bezr.Pol'!C18)-1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8</v>
      </c>
      <c r="E19" s="31">
        <f>INDEX('3s.bezr.Pol'!B3:G19,MATCH(16,B4:B20,0),3)</f>
        <v>7.9</v>
      </c>
      <c r="F19" s="67">
        <f>INDEX('3s.bezr.Pol'!B3:G19,MATCH(16,B4:B20,0),4)</f>
        <v>9.9999999999999645E-2</v>
      </c>
      <c r="G19" s="31">
        <f>INDEX('3s.bezr.Pol'!B3:G19,MATCH(16,B4:B20,0),5)</f>
        <v>8.5</v>
      </c>
      <c r="H19" s="67">
        <f>INDEX('3s.bezr.Pol'!B3:G19,MATCH(16,B4:B20,0),6)</f>
        <v>-0.5</v>
      </c>
    </row>
    <row r="20" spans="1:8" x14ac:dyDescent="0.2">
      <c r="A20" s="3">
        <v>17</v>
      </c>
      <c r="B20" s="6">
        <f>RANK('3s.bezr.Pol'!C19,'3s.bezr.Pol'!$C$3:'3s.bezr.Pol'!$C$19,1)+COUNTIF('3s.bezr.Pol'!$C$3:'3s.bezr.Pol'!C19,'3s.bezr.Pol'!C19)-1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8.4</v>
      </c>
      <c r="E20" s="31">
        <f>INDEX('3s.bezr.Pol'!B3:G19,MATCH(17,B4:B20,0),3)</f>
        <v>8.3000000000000007</v>
      </c>
      <c r="F20" s="67">
        <f>INDEX('3s.bezr.Pol'!B3:G19,MATCH(17,B4:B20,0),4)</f>
        <v>9.9999999999999645E-2</v>
      </c>
      <c r="G20" s="31">
        <f>INDEX('3s.bezr.Pol'!B3:G19,MATCH(17,B4:B20,0),5)</f>
        <v>8.6999999999999993</v>
      </c>
      <c r="H20" s="67">
        <f>INDEX('3s.bezr.Pol'!B3:G19,MATCH(17,B4:B20,0),6)</f>
        <v>-0.29999999999999893</v>
      </c>
    </row>
    <row r="21" spans="1:8" x14ac:dyDescent="0.2">
      <c r="B21" s="52" t="str">
        <f>T('3s.bezr.Pol'!B20)</f>
        <v xml:space="preserve">* GUS, Bank Danych Lokalnych </v>
      </c>
    </row>
    <row r="22" spans="1:8" x14ac:dyDescent="0.2">
      <c r="B22" s="162"/>
    </row>
    <row r="23" spans="1:8" x14ac:dyDescent="0.2">
      <c r="B23" s="53"/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customWidth="1"/>
    <col min="10" max="16384" width="9.140625" style="3"/>
  </cols>
  <sheetData>
    <row r="1" spans="1:8" ht="16.5" customHeight="1" x14ac:dyDescent="0.2">
      <c r="B1" s="2" t="s">
        <v>88</v>
      </c>
    </row>
    <row r="2" spans="1:8" ht="71.25" x14ac:dyDescent="0.2">
      <c r="B2" s="56" t="s">
        <v>27</v>
      </c>
      <c r="C2" s="56" t="s">
        <v>136</v>
      </c>
      <c r="D2" s="57" t="s">
        <v>134</v>
      </c>
      <c r="E2" s="56" t="s">
        <v>75</v>
      </c>
      <c r="F2" s="57" t="s">
        <v>135</v>
      </c>
      <c r="G2" s="56" t="s">
        <v>116</v>
      </c>
    </row>
    <row r="3" spans="1:8" ht="15" x14ac:dyDescent="0.2">
      <c r="A3" s="25">
        <v>1</v>
      </c>
      <c r="B3" s="69" t="s">
        <v>33</v>
      </c>
      <c r="C3" s="70">
        <v>5</v>
      </c>
      <c r="D3" s="71">
        <v>5</v>
      </c>
      <c r="E3" s="72">
        <f>($C$3)-$D$3</f>
        <v>0</v>
      </c>
      <c r="F3" s="71">
        <v>5.0999999999999996</v>
      </c>
      <c r="G3" s="70">
        <f>($C$3)-$F$3</f>
        <v>-9.9999999999999645E-2</v>
      </c>
      <c r="H3" s="25"/>
    </row>
    <row r="4" spans="1:8" ht="15" x14ac:dyDescent="0.25">
      <c r="A4" s="25">
        <v>2</v>
      </c>
      <c r="B4" s="73" t="s">
        <v>42</v>
      </c>
      <c r="C4" s="74">
        <v>8.4</v>
      </c>
      <c r="D4" s="71">
        <v>8.3000000000000007</v>
      </c>
      <c r="E4" s="74">
        <f>($C$4)-$D$4</f>
        <v>9.9999999999999645E-2</v>
      </c>
      <c r="F4" s="71">
        <v>8.6999999999999993</v>
      </c>
      <c r="G4" s="74">
        <f>($C$4)-$F$4</f>
        <v>-0.29999999999999893</v>
      </c>
      <c r="H4" s="25"/>
    </row>
    <row r="5" spans="1:8" x14ac:dyDescent="0.2">
      <c r="A5" s="25">
        <v>3</v>
      </c>
      <c r="B5" s="29" t="s">
        <v>50</v>
      </c>
      <c r="C5" s="30">
        <v>14.8</v>
      </c>
      <c r="D5" s="75">
        <v>14.3</v>
      </c>
      <c r="E5" s="8">
        <f>($C$5)-$D$5</f>
        <v>0.5</v>
      </c>
      <c r="F5" s="75">
        <v>15.8</v>
      </c>
      <c r="G5" s="8">
        <f>($C$5)-$F$5</f>
        <v>-1</v>
      </c>
      <c r="H5" s="25"/>
    </row>
    <row r="6" spans="1:8" x14ac:dyDescent="0.2">
      <c r="A6" s="25">
        <v>4</v>
      </c>
      <c r="B6" s="29" t="s">
        <v>51</v>
      </c>
      <c r="C6" s="30">
        <v>20.3</v>
      </c>
      <c r="D6" s="75">
        <v>19.899999999999999</v>
      </c>
      <c r="E6" s="8">
        <f>($C$6)-$D$6</f>
        <v>0.40000000000000213</v>
      </c>
      <c r="F6" s="75">
        <v>20.9</v>
      </c>
      <c r="G6" s="8">
        <f>($C$6)-$F$6</f>
        <v>-0.59999999999999787</v>
      </c>
      <c r="H6" s="25"/>
    </row>
    <row r="7" spans="1:8" x14ac:dyDescent="0.2">
      <c r="A7" s="25">
        <v>5</v>
      </c>
      <c r="B7" s="29" t="s">
        <v>52</v>
      </c>
      <c r="C7" s="30">
        <v>4.5999999999999996</v>
      </c>
      <c r="D7" s="75">
        <v>4.5999999999999996</v>
      </c>
      <c r="E7" s="8">
        <f>($C$7)-$D$7</f>
        <v>0</v>
      </c>
      <c r="F7" s="75">
        <v>4.7</v>
      </c>
      <c r="G7" s="8">
        <f>($C$7)-$F$7</f>
        <v>-0.10000000000000053</v>
      </c>
      <c r="H7" s="25"/>
    </row>
    <row r="8" spans="1:8" x14ac:dyDescent="0.2">
      <c r="A8" s="25">
        <v>6</v>
      </c>
      <c r="B8" s="29" t="s">
        <v>53</v>
      </c>
      <c r="C8" s="30">
        <v>10.3</v>
      </c>
      <c r="D8" s="75">
        <v>10.3</v>
      </c>
      <c r="E8" s="8">
        <f>($C$8)-$D$8</f>
        <v>0</v>
      </c>
      <c r="F8" s="75">
        <v>11.5</v>
      </c>
      <c r="G8" s="8">
        <f>($C$8)-$F$8</f>
        <v>-1.1999999999999993</v>
      </c>
      <c r="H8" s="25"/>
    </row>
    <row r="9" spans="1:8" x14ac:dyDescent="0.2">
      <c r="A9" s="25">
        <v>7</v>
      </c>
      <c r="B9" s="29" t="s">
        <v>54</v>
      </c>
      <c r="C9" s="30">
        <v>12.9</v>
      </c>
      <c r="D9" s="75">
        <v>12.6</v>
      </c>
      <c r="E9" s="8">
        <f>($C$9)-$D$9</f>
        <v>0.30000000000000071</v>
      </c>
      <c r="F9" s="75">
        <v>12.7</v>
      </c>
      <c r="G9" s="8">
        <f>($C$9)-$F$9</f>
        <v>0.20000000000000107</v>
      </c>
      <c r="H9" s="25"/>
    </row>
    <row r="10" spans="1:8" x14ac:dyDescent="0.2">
      <c r="A10" s="25">
        <v>8</v>
      </c>
      <c r="B10" s="29" t="s">
        <v>55</v>
      </c>
      <c r="C10" s="30">
        <v>7.5</v>
      </c>
      <c r="D10" s="75">
        <v>7.5</v>
      </c>
      <c r="E10" s="8">
        <f>($C$10)-$D$10</f>
        <v>0</v>
      </c>
      <c r="F10" s="75">
        <v>8.4</v>
      </c>
      <c r="G10" s="8">
        <f>($C$10)-$F$10</f>
        <v>-0.90000000000000036</v>
      </c>
      <c r="H10" s="25"/>
    </row>
    <row r="11" spans="1:8" x14ac:dyDescent="0.2">
      <c r="A11" s="25">
        <v>9</v>
      </c>
      <c r="B11" s="29" t="s">
        <v>56</v>
      </c>
      <c r="C11" s="30">
        <v>8</v>
      </c>
      <c r="D11" s="75">
        <v>7.8</v>
      </c>
      <c r="E11" s="8">
        <f>($C$11)-$D$11</f>
        <v>0.20000000000000018</v>
      </c>
      <c r="F11" s="75">
        <v>7.5</v>
      </c>
      <c r="G11" s="8">
        <f>($C$11)-$F$11</f>
        <v>0.5</v>
      </c>
      <c r="H11" s="25"/>
    </row>
    <row r="12" spans="1:8" ht="15" x14ac:dyDescent="0.25">
      <c r="A12" s="25">
        <v>10</v>
      </c>
      <c r="B12" s="32" t="s">
        <v>57</v>
      </c>
      <c r="C12" s="33">
        <v>18.3</v>
      </c>
      <c r="D12" s="71">
        <v>17.399999999999999</v>
      </c>
      <c r="E12" s="34">
        <f>($C$12)-$D$12</f>
        <v>0.90000000000000213</v>
      </c>
      <c r="F12" s="71">
        <v>18.899999999999999</v>
      </c>
      <c r="G12" s="34">
        <f>($C$12)-$F$12</f>
        <v>-0.59999999999999787</v>
      </c>
      <c r="H12" s="28"/>
    </row>
    <row r="13" spans="1:8" x14ac:dyDescent="0.2">
      <c r="A13" s="25">
        <v>11</v>
      </c>
      <c r="B13" s="29" t="s">
        <v>58</v>
      </c>
      <c r="C13" s="30">
        <v>14</v>
      </c>
      <c r="D13" s="75">
        <v>13.8</v>
      </c>
      <c r="E13" s="8">
        <f>($C$13)-$D$13</f>
        <v>0.19999999999999929</v>
      </c>
      <c r="F13" s="75">
        <v>15.1</v>
      </c>
      <c r="G13" s="8">
        <f>($C$13)-$F$13</f>
        <v>-1.0999999999999996</v>
      </c>
      <c r="H13" s="25"/>
    </row>
    <row r="14" spans="1:8" x14ac:dyDescent="0.2">
      <c r="A14" s="25">
        <v>12</v>
      </c>
      <c r="B14" s="29" t="s">
        <v>59</v>
      </c>
      <c r="C14" s="30">
        <v>10.1</v>
      </c>
      <c r="D14" s="75">
        <v>9.6</v>
      </c>
      <c r="E14" s="8">
        <f>($C$14)-$D$14</f>
        <v>0.5</v>
      </c>
      <c r="F14" s="75">
        <v>11</v>
      </c>
      <c r="G14" s="8">
        <f>($C$14)-$F$14</f>
        <v>-0.90000000000000036</v>
      </c>
      <c r="H14" s="25"/>
    </row>
    <row r="15" spans="1:8" x14ac:dyDescent="0.2">
      <c r="A15" s="25">
        <v>13</v>
      </c>
      <c r="B15" s="29" t="s">
        <v>60</v>
      </c>
      <c r="C15" s="30">
        <v>9.1</v>
      </c>
      <c r="D15" s="75">
        <v>9</v>
      </c>
      <c r="E15" s="8">
        <f>($C$15)-$D$15</f>
        <v>9.9999999999999645E-2</v>
      </c>
      <c r="F15" s="75">
        <v>9.8000000000000007</v>
      </c>
      <c r="G15" s="8">
        <f>($C$15)-$F$15</f>
        <v>-0.70000000000000107</v>
      </c>
      <c r="H15" s="25"/>
    </row>
    <row r="16" spans="1:8" x14ac:dyDescent="0.2">
      <c r="A16" s="25">
        <v>14</v>
      </c>
      <c r="B16" s="29" t="s">
        <v>61</v>
      </c>
      <c r="C16" s="30">
        <v>5.0999999999999996</v>
      </c>
      <c r="D16" s="75">
        <v>5.0999999999999996</v>
      </c>
      <c r="E16" s="8">
        <f>($C$16)-$D$16</f>
        <v>0</v>
      </c>
      <c r="F16" s="75">
        <v>4.4000000000000004</v>
      </c>
      <c r="G16" s="8">
        <f>($C$16)-$F$16</f>
        <v>0.69999999999999929</v>
      </c>
      <c r="H16" s="25"/>
    </row>
    <row r="17" spans="1:8" x14ac:dyDescent="0.2">
      <c r="A17" s="25">
        <v>15</v>
      </c>
      <c r="B17" s="29" t="s">
        <v>62</v>
      </c>
      <c r="C17" s="30">
        <v>16</v>
      </c>
      <c r="D17" s="75">
        <v>15.9</v>
      </c>
      <c r="E17" s="8">
        <f>($C$17)-$D$17</f>
        <v>9.9999999999999645E-2</v>
      </c>
      <c r="F17" s="75">
        <v>17.2</v>
      </c>
      <c r="G17" s="8">
        <f>($C$17)-$F$17</f>
        <v>-1.1999999999999993</v>
      </c>
      <c r="H17" s="25"/>
    </row>
    <row r="18" spans="1:8" x14ac:dyDescent="0.2">
      <c r="A18" s="25">
        <v>16</v>
      </c>
      <c r="B18" s="29" t="s">
        <v>63</v>
      </c>
      <c r="C18" s="30">
        <v>15</v>
      </c>
      <c r="D18" s="75">
        <v>14.9</v>
      </c>
      <c r="E18" s="8">
        <f>($C$18)-$D$18</f>
        <v>9.9999999999999645E-2</v>
      </c>
      <c r="F18" s="75">
        <v>16.899999999999999</v>
      </c>
      <c r="G18" s="8">
        <f>($C$18)-$F$18</f>
        <v>-1.8999999999999986</v>
      </c>
      <c r="H18" s="25"/>
    </row>
    <row r="19" spans="1:8" x14ac:dyDescent="0.2">
      <c r="A19" s="25">
        <v>17</v>
      </c>
      <c r="B19" s="29" t="s">
        <v>64</v>
      </c>
      <c r="C19" s="30">
        <v>13.1</v>
      </c>
      <c r="D19" s="75">
        <v>13.1</v>
      </c>
      <c r="E19" s="8">
        <f>($C$19)-$D$19</f>
        <v>0</v>
      </c>
      <c r="F19" s="75">
        <v>14.4</v>
      </c>
      <c r="G19" s="8">
        <f>($C$19)-$F$19</f>
        <v>-1.3000000000000007</v>
      </c>
      <c r="H19" s="25"/>
    </row>
    <row r="20" spans="1:8" x14ac:dyDescent="0.2">
      <c r="A20" s="25">
        <v>18</v>
      </c>
      <c r="B20" s="29" t="s">
        <v>65</v>
      </c>
      <c r="C20" s="30">
        <v>10.199999999999999</v>
      </c>
      <c r="D20" s="75">
        <v>10.3</v>
      </c>
      <c r="E20" s="8">
        <f>($C$20)-$D$20</f>
        <v>-0.10000000000000142</v>
      </c>
      <c r="F20" s="75">
        <v>11.4</v>
      </c>
      <c r="G20" s="8">
        <f>($C$20)-$F$20</f>
        <v>-1.2000000000000011</v>
      </c>
      <c r="H20" s="25"/>
    </row>
    <row r="21" spans="1:8" x14ac:dyDescent="0.2">
      <c r="A21" s="25">
        <v>19</v>
      </c>
      <c r="B21" s="29" t="s">
        <v>66</v>
      </c>
      <c r="C21" s="30">
        <v>7.6</v>
      </c>
      <c r="D21" s="75">
        <v>7.4</v>
      </c>
      <c r="E21" s="8">
        <f>($C$21)-$D$21</f>
        <v>0.19999999999999929</v>
      </c>
      <c r="F21" s="75">
        <v>8.6</v>
      </c>
      <c r="G21" s="8">
        <f>($C$21)-$F$21</f>
        <v>-1</v>
      </c>
      <c r="H21" s="25"/>
    </row>
    <row r="22" spans="1:8" x14ac:dyDescent="0.2">
      <c r="A22" s="25">
        <v>20</v>
      </c>
      <c r="B22" s="29" t="s">
        <v>67</v>
      </c>
      <c r="C22" s="30">
        <v>8</v>
      </c>
      <c r="D22" s="75">
        <v>8</v>
      </c>
      <c r="E22" s="8">
        <f>($C$22)-$D$22</f>
        <v>0</v>
      </c>
      <c r="F22" s="75">
        <v>7.7</v>
      </c>
      <c r="G22" s="8">
        <f>($C$22)-$F$22</f>
        <v>0.29999999999999982</v>
      </c>
      <c r="H22" s="25"/>
    </row>
    <row r="23" spans="1:8" x14ac:dyDescent="0.2">
      <c r="A23" s="25">
        <v>21</v>
      </c>
      <c r="B23" s="29" t="s">
        <v>68</v>
      </c>
      <c r="C23" s="30">
        <v>4.7</v>
      </c>
      <c r="D23" s="75">
        <v>4.7</v>
      </c>
      <c r="E23" s="8">
        <f>($C$23)-$D$23</f>
        <v>0</v>
      </c>
      <c r="F23" s="75">
        <v>4.5999999999999996</v>
      </c>
      <c r="G23" s="8">
        <f>($C$23)-$F$23</f>
        <v>0.10000000000000053</v>
      </c>
      <c r="H23" s="25"/>
    </row>
    <row r="24" spans="1:8" x14ac:dyDescent="0.2">
      <c r="A24" s="25">
        <v>22</v>
      </c>
      <c r="B24" s="29" t="s">
        <v>69</v>
      </c>
      <c r="C24" s="30">
        <v>16.600000000000001</v>
      </c>
      <c r="D24" s="75">
        <v>16.3</v>
      </c>
      <c r="E24" s="8">
        <f>($C$24)-$D$24</f>
        <v>0.30000000000000071</v>
      </c>
      <c r="F24" s="75">
        <v>17.7</v>
      </c>
      <c r="G24" s="8">
        <f>($C$24)-$F$24</f>
        <v>-1.0999999999999979</v>
      </c>
      <c r="H24" s="25"/>
    </row>
    <row r="25" spans="1:8" x14ac:dyDescent="0.2">
      <c r="A25" s="25">
        <v>23</v>
      </c>
      <c r="B25" s="29" t="s">
        <v>70</v>
      </c>
      <c r="C25" s="30">
        <v>7.4</v>
      </c>
      <c r="D25" s="75">
        <v>7.4</v>
      </c>
      <c r="E25" s="8">
        <f>($C$25)-$D$25</f>
        <v>0</v>
      </c>
      <c r="F25" s="75">
        <v>7.2</v>
      </c>
      <c r="G25" s="8">
        <f>($C$25)-$F$25</f>
        <v>0.20000000000000018</v>
      </c>
      <c r="H25" s="25"/>
    </row>
    <row r="26" spans="1:8" x14ac:dyDescent="0.2">
      <c r="A26" s="25">
        <v>24</v>
      </c>
      <c r="B26" s="29" t="s">
        <v>71</v>
      </c>
      <c r="C26" s="35">
        <v>2.9</v>
      </c>
      <c r="D26" s="75">
        <v>2.8</v>
      </c>
      <c r="E26" s="8">
        <f>($C$26)-$D$26</f>
        <v>0.10000000000000009</v>
      </c>
      <c r="F26" s="75">
        <v>2.4</v>
      </c>
      <c r="G26" s="8">
        <f>($C$26)-$F$26</f>
        <v>0.5</v>
      </c>
      <c r="H26" s="25"/>
    </row>
    <row r="27" spans="1:8" x14ac:dyDescent="0.2">
      <c r="A27" s="25">
        <v>25</v>
      </c>
      <c r="B27" s="29" t="s">
        <v>72</v>
      </c>
      <c r="C27" s="30">
        <v>9.8000000000000007</v>
      </c>
      <c r="D27" s="75">
        <v>9.8000000000000007</v>
      </c>
      <c r="E27" s="8">
        <f>($C$27)-$D$27</f>
        <v>0</v>
      </c>
      <c r="F27" s="75">
        <v>9.3000000000000007</v>
      </c>
      <c r="G27" s="8">
        <f>($C$27)-$F$27</f>
        <v>0.5</v>
      </c>
      <c r="H27" s="25"/>
    </row>
    <row r="28" spans="1:8" x14ac:dyDescent="0.2">
      <c r="A28" s="25">
        <v>26</v>
      </c>
      <c r="B28" s="29" t="s">
        <v>73</v>
      </c>
      <c r="C28" s="30">
        <v>4.0999999999999996</v>
      </c>
      <c r="D28" s="75">
        <v>4.0999999999999996</v>
      </c>
      <c r="E28" s="8">
        <f>($C$28)-$D$28</f>
        <v>0</v>
      </c>
      <c r="F28" s="75">
        <v>4.3</v>
      </c>
      <c r="G28" s="8">
        <f>($C$28)-$F$28</f>
        <v>-0.20000000000000018</v>
      </c>
      <c r="H28" s="25"/>
    </row>
    <row r="29" spans="1:8" x14ac:dyDescent="0.2">
      <c r="A29" s="25">
        <v>27</v>
      </c>
      <c r="B29" s="29" t="s">
        <v>74</v>
      </c>
      <c r="C29" s="30">
        <v>6.9</v>
      </c>
      <c r="D29" s="180">
        <v>7</v>
      </c>
      <c r="E29" s="8">
        <f>($C$29)-$D$29</f>
        <v>-9.9999999999999645E-2</v>
      </c>
      <c r="F29" s="75">
        <v>6.8</v>
      </c>
      <c r="G29" s="8">
        <f>($C$29)-$F$29</f>
        <v>0.10000000000000053</v>
      </c>
      <c r="H29" s="25"/>
    </row>
    <row r="30" spans="1:8" x14ac:dyDescent="0.2">
      <c r="B30" s="52" t="s">
        <v>122</v>
      </c>
      <c r="E30" s="28"/>
    </row>
    <row r="31" spans="1:8" x14ac:dyDescent="0.2">
      <c r="B31" s="162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88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T('4s.bezr.pow.'!B2)</f>
        <v>powiaty</v>
      </c>
      <c r="D3" s="55" t="str">
        <f>T('4s.bezr.pow.'!C2)</f>
        <v>Stopa bezrobocia stan na 30 XI '23 r. w proc.*</v>
      </c>
      <c r="E3" s="55" t="str">
        <f>T('4s.bezr.pow.'!D2)</f>
        <v>Stopa bezrobocia stan na 31 X '23 r. w proc. *</v>
      </c>
      <c r="F3" s="55" t="str">
        <f>T('4s.bezr.pow.'!E2)</f>
        <v>wzrost/spadek do poprzedniego miesiąca (pkt. proc.)</v>
      </c>
      <c r="G3" s="186" t="str">
        <f>T('4s.bezr.pow.'!F2)</f>
        <v>Stopa bezrobocia stan na 30 XI '22 r. w proc.*</v>
      </c>
      <c r="H3" s="55" t="str">
        <f>T('4s.bezr.pow.'!G2)</f>
        <v>wzrost/spadek do początku roku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5</v>
      </c>
      <c r="C4" s="36" t="str">
        <f>INDEX('4s.bezr.pow.'!B3:G29,MATCH(1,B4:B30,0),1)</f>
        <v>Powiat m.Krosno</v>
      </c>
      <c r="D4" s="28">
        <f>INDEX('4s.bezr.pow.'!B3:G29,MATCH(1,B4:B30,0),2)</f>
        <v>2.9</v>
      </c>
      <c r="E4" s="75">
        <f>INDEX('4s.bezr.pow.'!B3:G29,MATCH(1,B4:B30,0),3)</f>
        <v>2.8</v>
      </c>
      <c r="F4" s="24">
        <f>INDEX('4s.bezr.pow.'!B3:G29,MATCH(1,B4:B30,0),4)</f>
        <v>0.10000000000000009</v>
      </c>
      <c r="G4" s="75">
        <f>INDEX('4s.bezr.pow.'!B3:G29,MATCH(1,B4:B30,0),5)</f>
        <v>2.4</v>
      </c>
      <c r="H4" s="24">
        <f>INDEX('4s.bezr.pow.'!B3:G29,MATCH(1,B4:B30,0),6)</f>
        <v>0.5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13</v>
      </c>
      <c r="C5" s="5" t="str">
        <f>INDEX('4s.bezr.pow.'!B3:G29,MATCH(2,B4:B30,0),1)</f>
        <v>Powiat m.Rzeszów</v>
      </c>
      <c r="D5" s="8">
        <f>INDEX('4s.bezr.pow.'!B3:G29,MATCH(2,B4:B30,0),2)</f>
        <v>4.0999999999999996</v>
      </c>
      <c r="E5" s="75">
        <f>INDEX('4s.bezr.pow.'!B3:G29,MATCH(2,B4:B30,0),3)</f>
        <v>4.0999999999999996</v>
      </c>
      <c r="F5" s="24">
        <f>INDEX('4s.bezr.pow.'!B3:G29,MATCH(2,B4:B30,0),4)</f>
        <v>0</v>
      </c>
      <c r="G5" s="75">
        <f>INDEX('4s.bezr.pow.'!B3:G29,MATCH(2,B4:B30,0),5)</f>
        <v>4.3</v>
      </c>
      <c r="H5" s="24">
        <f>INDEX('4s.bezr.pow.'!B3:G29,MATCH(2,B4:B30,0),6)</f>
        <v>-0.20000000000000018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4.5999999999999996</v>
      </c>
      <c r="E6" s="75">
        <f>INDEX('4s.bezr.pow.'!B3:G29,MATCH(3,B4:B30,0),3)</f>
        <v>4.5999999999999996</v>
      </c>
      <c r="F6" s="24">
        <f>INDEX('4s.bezr.pow.'!B3:G29,MATCH(3,B4:B30,0),4)</f>
        <v>0</v>
      </c>
      <c r="G6" s="75">
        <f>INDEX('4s.bezr.pow.'!B3:G29,MATCH(3,B4:B30,0),5)</f>
        <v>4.7</v>
      </c>
      <c r="H6" s="24">
        <f>INDEX('4s.bezr.pow.'!B3:G29,MATCH(3,B4:B30,0),6)</f>
        <v>-0.10000000000000053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4.7</v>
      </c>
      <c r="E7" s="75">
        <f>INDEX('4s.bezr.pow.'!B3:G29,MATCH(4,B4:B30,0),3)</f>
        <v>4.7</v>
      </c>
      <c r="F7" s="24">
        <f>INDEX('4s.bezr.pow.'!B3:G29,MATCH(4,B4:B30,0),4)</f>
        <v>0</v>
      </c>
      <c r="G7" s="75">
        <f>INDEX('4s.bezr.pow.'!B3:G29,MATCH(4,B4:B30,0),5)</f>
        <v>4.5999999999999996</v>
      </c>
      <c r="H7" s="24">
        <f>INDEX('4s.bezr.pow.'!B3:G29,MATCH(4,B4:B30,0),6)</f>
        <v>0.10000000000000053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POLSKA</v>
      </c>
      <c r="D8" s="8">
        <f>INDEX('4s.bezr.pow.'!B3:G29,MATCH(5,B4:B30,0),2)</f>
        <v>5</v>
      </c>
      <c r="E8" s="75">
        <f>INDEX('4s.bezr.pow.'!B3:G29,MATCH(5,B4:B30,0),3)</f>
        <v>5</v>
      </c>
      <c r="F8" s="24">
        <f>INDEX('4s.bezr.pow.'!B3:G29,MATCH(5,B4:B30,0),4)</f>
        <v>0</v>
      </c>
      <c r="G8" s="75">
        <f>INDEX('4s.bezr.pow.'!B3:G29,MATCH(5,B4:B30,0),5)</f>
        <v>5.0999999999999996</v>
      </c>
      <c r="H8" s="24">
        <f>INDEX('4s.bezr.pow.'!B3:G29,MATCH(5,B4:B30,0),6)</f>
        <v>-9.9999999999999645E-2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18</v>
      </c>
      <c r="C9" s="5" t="str">
        <f>INDEX('4s.bezr.pow.'!B3:G29,MATCH(6,B4:B30,0),1)</f>
        <v>Powiat mielecki</v>
      </c>
      <c r="D9" s="8">
        <f>INDEX('4s.bezr.pow.'!B3:G29,MATCH(6,B4:B30,0),2)</f>
        <v>5.0999999999999996</v>
      </c>
      <c r="E9" s="75">
        <f>INDEX('4s.bezr.pow.'!B3:G29,MATCH(6,B4:B30,0),3)</f>
        <v>5.0999999999999996</v>
      </c>
      <c r="F9" s="24">
        <f>INDEX('4s.bezr.pow.'!B3:G29,MATCH(6,B4:B30,0),4)</f>
        <v>0</v>
      </c>
      <c r="G9" s="75">
        <f>INDEX('4s.bezr.pow.'!B3:G29,MATCH(6,B4:B30,0),5)</f>
        <v>4.4000000000000004</v>
      </c>
      <c r="H9" s="24">
        <f>INDEX('4s.bezr.pow.'!B3:G29,MATCH(6,B4:B30,0),6)</f>
        <v>0.69999999999999929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6.9</v>
      </c>
      <c r="E10" s="75">
        <f>INDEX('4s.bezr.pow.'!B3:G29,MATCH(7,B4:B30,0),3)</f>
        <v>7</v>
      </c>
      <c r="F10" s="24">
        <f>INDEX('4s.bezr.pow.'!B3:G29,MATCH(7,B4:B30,0),4)</f>
        <v>-9.9999999999999645E-2</v>
      </c>
      <c r="G10" s="75">
        <f>INDEX('4s.bezr.pow.'!B3:G29,MATCH(7,B4:B30,0),5)</f>
        <v>6.8</v>
      </c>
      <c r="H10" s="24">
        <f>INDEX('4s.bezr.pow.'!B3:G29,MATCH(7,B4:B30,0),6)</f>
        <v>0.10000000000000053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9</v>
      </c>
      <c r="C11" s="5" t="str">
        <f>INDEX('4s.bezr.pow.'!B3:G29,MATCH(8,B4:B30,0),1)</f>
        <v>Powiat tarnobrzeski</v>
      </c>
      <c r="D11" s="8">
        <f>INDEX('4s.bezr.pow.'!B3:G29,MATCH(8,B4:B30,0),2)</f>
        <v>7.4</v>
      </c>
      <c r="E11" s="75">
        <f>INDEX('4s.bezr.pow.'!B3:G29,MATCH(8,B4:B30,0),3)</f>
        <v>7.4</v>
      </c>
      <c r="F11" s="24">
        <f>INDEX('4s.bezr.pow.'!B3:G29,MATCH(8,B4:B30,0),4)</f>
        <v>0</v>
      </c>
      <c r="G11" s="75">
        <f>INDEX('4s.bezr.pow.'!B3:G29,MATCH(8,B4:B30,0),5)</f>
        <v>7.2</v>
      </c>
      <c r="H11" s="24">
        <f>INDEX('4s.bezr.pow.'!B3:G29,MATCH(8,B4:B30,0),6)</f>
        <v>0.20000000000000018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11</v>
      </c>
      <c r="C12" s="5" t="str">
        <f>INDEX('4s.bezr.pow.'!B3:G29,MATCH(9,B4:B30,0),1)</f>
        <v>Powiat kolbuszowski</v>
      </c>
      <c r="D12" s="8">
        <f>INDEX('4s.bezr.pow.'!B3:G29,MATCH(9,B4:B30,0),2)</f>
        <v>7.5</v>
      </c>
      <c r="E12" s="75">
        <f>INDEX('4s.bezr.pow.'!B3:G29,MATCH(9,B4:B30,0),3)</f>
        <v>7.5</v>
      </c>
      <c r="F12" s="24">
        <f>INDEX('4s.bezr.pow.'!B3:G29,MATCH(9,B4:B30,0),4)</f>
        <v>0</v>
      </c>
      <c r="G12" s="75">
        <f>INDEX('4s.bezr.pow.'!B3:G29,MATCH(9,B4:B30,0),5)</f>
        <v>8.4</v>
      </c>
      <c r="H12" s="24">
        <f>INDEX('4s.bezr.pow.'!B3:G29,MATCH(9,B4:B30,0),6)</f>
        <v>-0.90000000000000036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rzeszowski</v>
      </c>
      <c r="D13" s="8">
        <f>INDEX('4s.bezr.pow.'!B3:G29,MATCH(10,B4:B30,0),2)</f>
        <v>7.6</v>
      </c>
      <c r="E13" s="75">
        <f>INDEX('4s.bezr.pow.'!B3:G29,MATCH(10,B4:B30,0),3)</f>
        <v>7.4</v>
      </c>
      <c r="F13" s="24">
        <f>INDEX('4s.bezr.pow.'!B3:G29,MATCH(10,B4:B30,0),4)</f>
        <v>0.19999999999999929</v>
      </c>
      <c r="G13" s="75">
        <f>INDEX('4s.bezr.pow.'!B3:G29,MATCH(10,B4:B30,0),5)</f>
        <v>8.6</v>
      </c>
      <c r="H13" s="24">
        <f>INDEX('4s.bezr.pow.'!B3:G29,MATCH(10,B4:B30,0),6)</f>
        <v>-1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krośnieński</v>
      </c>
      <c r="D14" s="8">
        <f>INDEX('4s.bezr.pow.'!B3:G29,MATCH(11,B4:B30,0),2)</f>
        <v>8</v>
      </c>
      <c r="E14" s="75">
        <f>INDEX('4s.bezr.pow.'!B3:G29,MATCH(11,B4:B30,0),3)</f>
        <v>7.8</v>
      </c>
      <c r="F14" s="24">
        <f>INDEX('4s.bezr.pow.'!B3:G29,MATCH(11,B4:B30,0),4)</f>
        <v>0.20000000000000018</v>
      </c>
      <c r="G14" s="75">
        <f>INDEX('4s.bezr.pow.'!B3:G29,MATCH(11,B4:B30,0),5)</f>
        <v>7.5</v>
      </c>
      <c r="H14" s="24">
        <f>INDEX('4s.bezr.pow.'!B3:G29,MATCH(11,B4:B30,0),6)</f>
        <v>0.5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16</v>
      </c>
      <c r="C15" s="37" t="str">
        <f>INDEX('4s.bezr.pow.'!B3:G29,MATCH(12,B4:B30,0),1)</f>
        <v>Powiat sanocki</v>
      </c>
      <c r="D15" s="8">
        <f>INDEX('4s.bezr.pow.'!B3:G29,MATCH(12,B4:B30,0),2)</f>
        <v>8</v>
      </c>
      <c r="E15" s="75">
        <f>INDEX('4s.bezr.pow.'!B3:G29,MATCH(12,B4:B30,0),3)</f>
        <v>8</v>
      </c>
      <c r="F15" s="24">
        <f>INDEX('4s.bezr.pow.'!B3:G29,MATCH(12,B4:B30,0),4)</f>
        <v>0</v>
      </c>
      <c r="G15" s="75">
        <f>INDEX('4s.bezr.pow.'!B3:G29,MATCH(12,B4:B30,0),5)</f>
        <v>7.7</v>
      </c>
      <c r="H15" s="24">
        <f>INDEX('4s.bezr.pow.'!B3:G29,MATCH(12,B4:B30,0),6)</f>
        <v>0.29999999999999982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14</v>
      </c>
      <c r="C16" s="5" t="str">
        <f>INDEX('4s.bezr.pow.'!B3:G29,MATCH(13,B4:B30,0),1)</f>
        <v>PODKARPACKIE</v>
      </c>
      <c r="D16" s="8">
        <f>INDEX('4s.bezr.pow.'!B3:G29,MATCH(13,B4:B30,0),2)</f>
        <v>8.4</v>
      </c>
      <c r="E16" s="75">
        <f>INDEX('4s.bezr.pow.'!B3:G29,MATCH(13,B4:B30,0),3)</f>
        <v>8.3000000000000007</v>
      </c>
      <c r="F16" s="24">
        <f>INDEX('4s.bezr.pow.'!B3:G29,MATCH(13,B4:B30,0),4)</f>
        <v>9.9999999999999645E-2</v>
      </c>
      <c r="G16" s="75">
        <f>INDEX('4s.bezr.pow.'!B3:G29,MATCH(13,B4:B30,0),5)</f>
        <v>8.6999999999999993</v>
      </c>
      <c r="H16" s="24">
        <f>INDEX('4s.bezr.pow.'!B3:G29,MATCH(13,B4:B30,0),6)</f>
        <v>-0.29999999999999893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6</v>
      </c>
      <c r="C17" s="5" t="str">
        <f>INDEX('4s.bezr.pow.'!B3:G29,MATCH(14,B4:B30,0),1)</f>
        <v>Powiat łańcucki</v>
      </c>
      <c r="D17" s="8">
        <f>INDEX('4s.bezr.pow.'!B3:G29,MATCH(14,B4:B30,0),2)</f>
        <v>9.1</v>
      </c>
      <c r="E17" s="75">
        <f>INDEX('4s.bezr.pow.'!B3:G29,MATCH(14,B4:B30,0),3)</f>
        <v>9</v>
      </c>
      <c r="F17" s="24">
        <f>INDEX('4s.bezr.pow.'!B3:G29,MATCH(14,B4:B30,0),4)</f>
        <v>9.9999999999999645E-2</v>
      </c>
      <c r="G17" s="75">
        <f>INDEX('4s.bezr.pow.'!B3:G29,MATCH(14,B4:B30,0),5)</f>
        <v>9.8000000000000007</v>
      </c>
      <c r="H17" s="24">
        <f>INDEX('4s.bezr.pow.'!B3:G29,MATCH(14,B4:B30,0),6)</f>
        <v>-0.70000000000000107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24</v>
      </c>
      <c r="C18" s="5" t="str">
        <f>INDEX('4s.bezr.pow.'!B3:G29,MATCH(15,B4:B30,0),1)</f>
        <v>Powiat m.Przemyśl</v>
      </c>
      <c r="D18" s="8">
        <f>INDEX('4s.bezr.pow.'!B3:G29,MATCH(15,B4:B30,0),2)</f>
        <v>9.8000000000000007</v>
      </c>
      <c r="E18" s="75">
        <f>INDEX('4s.bezr.pow.'!B3:G29,MATCH(15,B4:B30,0),3)</f>
        <v>9.8000000000000007</v>
      </c>
      <c r="F18" s="24">
        <f>INDEX('4s.bezr.pow.'!B3:G29,MATCH(15,B4:B30,0),4)</f>
        <v>0</v>
      </c>
      <c r="G18" s="75">
        <f>INDEX('4s.bezr.pow.'!B3:G29,MATCH(15,B4:B30,0),5)</f>
        <v>9.3000000000000007</v>
      </c>
      <c r="H18" s="24">
        <f>INDEX('4s.bezr.pow.'!B3:G29,MATCH(15,B4:B30,0),6)</f>
        <v>0.5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lubaczowski</v>
      </c>
      <c r="D19" s="8">
        <f>INDEX('4s.bezr.pow.'!B3:G29,MATCH(16,B4:B30,0),2)</f>
        <v>10.1</v>
      </c>
      <c r="E19" s="75">
        <f>INDEX('4s.bezr.pow.'!B3:G29,MATCH(16,B4:B30,0),3)</f>
        <v>9.6</v>
      </c>
      <c r="F19" s="24">
        <f>INDEX('4s.bezr.pow.'!B3:G29,MATCH(16,B4:B30,0),4)</f>
        <v>0.5</v>
      </c>
      <c r="G19" s="75">
        <f>INDEX('4s.bezr.pow.'!B3:G29,MATCH(16,B4:B30,0),5)</f>
        <v>11</v>
      </c>
      <c r="H19" s="24">
        <f>INDEX('4s.bezr.pow.'!B3:G29,MATCH(16,B4:B30,0),6)</f>
        <v>-0.90000000000000036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ropczycko-sędziszowski</v>
      </c>
      <c r="D20" s="8">
        <f>INDEX('4s.bezr.pow.'!B3:G29,MATCH(17,B4:B30,0),2)</f>
        <v>10.199999999999999</v>
      </c>
      <c r="E20" s="75">
        <f>INDEX('4s.bezr.pow.'!B3:G29,MATCH(17,B4:B30,0),3)</f>
        <v>10.3</v>
      </c>
      <c r="F20" s="24">
        <f>INDEX('4s.bezr.pow.'!B3:G29,MATCH(17,B4:B30,0),4)</f>
        <v>-0.10000000000000142</v>
      </c>
      <c r="G20" s="75">
        <f>INDEX('4s.bezr.pow.'!B3:G29,MATCH(17,B4:B30,0),5)</f>
        <v>11.4</v>
      </c>
      <c r="H20" s="24">
        <f>INDEX('4s.bezr.pow.'!B3:G29,MATCH(17,B4:B30,0),6)</f>
        <v>-1.2000000000000011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17</v>
      </c>
      <c r="C21" s="5" t="str">
        <f>INDEX('4s.bezr.pow.'!B3:G29,MATCH(18,B4:B30,0),1)</f>
        <v>Powiat jarosławski</v>
      </c>
      <c r="D21" s="8">
        <f>INDEX('4s.bezr.pow.'!B3:G29,MATCH(18,B4:B30,0),2)</f>
        <v>10.3</v>
      </c>
      <c r="E21" s="75">
        <f>INDEX('4s.bezr.pow.'!B3:G29,MATCH(18,B4:B30,0),3)</f>
        <v>10.3</v>
      </c>
      <c r="F21" s="24">
        <f>INDEX('4s.bezr.pow.'!B3:G29,MATCH(18,B4:B30,0),4)</f>
        <v>0</v>
      </c>
      <c r="G21" s="75">
        <f>INDEX('4s.bezr.pow.'!B3:G29,MATCH(18,B4:B30,0),5)</f>
        <v>11.5</v>
      </c>
      <c r="H21" s="24">
        <f>INDEX('4s.bezr.pow.'!B3:G29,MATCH(18,B4:B30,0),6)</f>
        <v>-1.1999999999999993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10</v>
      </c>
      <c r="C22" s="5" t="str">
        <f>INDEX('4s.bezr.pow.'!B3:G29,MATCH(19,B4:B30,0),1)</f>
        <v>Powiat jasielski</v>
      </c>
      <c r="D22" s="8">
        <f>INDEX('4s.bezr.pow.'!B3:G29,MATCH(19,B4:B30,0),2)</f>
        <v>12.9</v>
      </c>
      <c r="E22" s="75">
        <f>INDEX('4s.bezr.pow.'!B3:G29,MATCH(19,B4:B30,0),3)</f>
        <v>12.6</v>
      </c>
      <c r="F22" s="24">
        <f>INDEX('4s.bezr.pow.'!B3:G29,MATCH(19,B4:B30,0),4)</f>
        <v>0.30000000000000071</v>
      </c>
      <c r="G22" s="75">
        <f>INDEX('4s.bezr.pow.'!B3:G29,MATCH(19,B4:B30,0),5)</f>
        <v>12.7</v>
      </c>
      <c r="H22" s="24">
        <f>INDEX('4s.bezr.pow.'!B3:G29,MATCH(19,B4:B30,0),6)</f>
        <v>0.20000000000000107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12</v>
      </c>
      <c r="C23" s="5" t="str">
        <f>INDEX('4s.bezr.pow.'!B3:G29,MATCH(20,B4:B30,0),1)</f>
        <v>Powiat przeworski</v>
      </c>
      <c r="D23" s="8">
        <f>INDEX('4s.bezr.pow.'!B3:G29,MATCH(20,B4:B30,0),2)</f>
        <v>13.1</v>
      </c>
      <c r="E23" s="75">
        <f>INDEX('4s.bezr.pow.'!B3:G29,MATCH(20,B4:B30,0),3)</f>
        <v>13.1</v>
      </c>
      <c r="F23" s="24">
        <f>INDEX('4s.bezr.pow.'!B3:G29,MATCH(20,B4:B30,0),4)</f>
        <v>0</v>
      </c>
      <c r="G23" s="75">
        <f>INDEX('4s.bezr.pow.'!B3:G29,MATCH(20,B4:B30,0),5)</f>
        <v>14.4</v>
      </c>
      <c r="H23" s="24">
        <f>INDEX('4s.bezr.pow.'!B3:G29,MATCH(20,B4:B30,0),6)</f>
        <v>-1.3000000000000007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14</v>
      </c>
      <c r="E24" s="75">
        <f>INDEX('4s.bezr.pow.'!B3:G29,MATCH(21,B4:B30,0),3)</f>
        <v>13.8</v>
      </c>
      <c r="F24" s="24">
        <f>INDEX('4s.bezr.pow.'!B3:G29,MATCH(21,B4:B30,0),4)</f>
        <v>0.19999999999999929</v>
      </c>
      <c r="G24" s="75">
        <f>INDEX('4s.bezr.pow.'!B3:G29,MATCH(21,B4:B30,0),5)</f>
        <v>15.1</v>
      </c>
      <c r="H24" s="24">
        <f>INDEX('4s.bezr.pow.'!B3:G29,MATCH(21,B4:B30,0),6)</f>
        <v>-1.0999999999999996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25</v>
      </c>
      <c r="C25" s="5" t="str">
        <f>INDEX('4s.bezr.pow.'!B3:G29,MATCH(22,B4:B30,0),1)</f>
        <v>Powiat bieszczadzki</v>
      </c>
      <c r="D25" s="8">
        <f>INDEX('4s.bezr.pow.'!B3:G29,MATCH(22,B4:B30,0),2)</f>
        <v>14.8</v>
      </c>
      <c r="E25" s="75">
        <f>INDEX('4s.bezr.pow.'!B3:G29,MATCH(22,B4:B30,0),3)</f>
        <v>14.3</v>
      </c>
      <c r="F25" s="24">
        <f>INDEX('4s.bezr.pow.'!B3:G29,MATCH(22,B4:B30,0),4)</f>
        <v>0.5</v>
      </c>
      <c r="G25" s="75">
        <f>INDEX('4s.bezr.pow.'!B3:G29,MATCH(22,B4:B30,0),5)</f>
        <v>15.8</v>
      </c>
      <c r="H25" s="24">
        <f>INDEX('4s.bezr.pow.'!B3:G29,MATCH(22,B4:B30,0),6)</f>
        <v>-1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8</v>
      </c>
      <c r="C26" s="5" t="str">
        <f>INDEX('4s.bezr.pow.'!B3:G29,MATCH(23,B4:B30,0),1)</f>
        <v>Powiat przemyski</v>
      </c>
      <c r="D26" s="8">
        <f>INDEX('4s.bezr.pow.'!B3:G29,MATCH(23,B4:B30,0),2)</f>
        <v>15</v>
      </c>
      <c r="E26" s="75">
        <f>INDEX('4s.bezr.pow.'!B3:G29,MATCH(23,B4:B30,0),3)</f>
        <v>14.9</v>
      </c>
      <c r="F26" s="24">
        <f>INDEX('4s.bezr.pow.'!B3:G29,MATCH(23,B4:B30,0),4)</f>
        <v>9.9999999999999645E-2</v>
      </c>
      <c r="G26" s="75">
        <f>INDEX('4s.bezr.pow.'!B3:G29,MATCH(23,B4:B30,0),5)</f>
        <v>16.899999999999999</v>
      </c>
      <c r="H26" s="24">
        <f>INDEX('4s.bezr.pow.'!B3:G29,MATCH(23,B4:B30,0),6)</f>
        <v>-1.8999999999999986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niżański</v>
      </c>
      <c r="D27" s="8">
        <f>INDEX('4s.bezr.pow.'!B3:G29,MATCH(24,B4:B30,0),2)</f>
        <v>16</v>
      </c>
      <c r="E27" s="75">
        <f>INDEX('4s.bezr.pow.'!B3:G29,MATCH(24,B4:B30,0),3)</f>
        <v>15.9</v>
      </c>
      <c r="F27" s="24">
        <f>INDEX('4s.bezr.pow.'!B3:G29,MATCH(24,B4:B30,0),4)</f>
        <v>9.9999999999999645E-2</v>
      </c>
      <c r="G27" s="75">
        <f>INDEX('4s.bezr.pow.'!B3:G29,MATCH(24,B4:B30,0),5)</f>
        <v>17.2</v>
      </c>
      <c r="H27" s="24">
        <f>INDEX('4s.bezr.pow.'!B3:G29,MATCH(24,B4:B30,0),6)</f>
        <v>-1.1999999999999993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15</v>
      </c>
      <c r="C28" s="5" t="str">
        <f>INDEX('4s.bezr.pow.'!B3:G29,MATCH(25,B4:B30,0),1)</f>
        <v>Powiat strzyżowski</v>
      </c>
      <c r="D28" s="8">
        <f>INDEX('4s.bezr.pow.'!B3:G29,MATCH(25,B4:B30,0),2)</f>
        <v>16.600000000000001</v>
      </c>
      <c r="E28" s="75">
        <f>INDEX('4s.bezr.pow.'!B3:G29,MATCH(25,B4:B30,0),3)</f>
        <v>16.3</v>
      </c>
      <c r="F28" s="24">
        <f>INDEX('4s.bezr.pow.'!B3:G29,MATCH(25,B4:B30,0),4)</f>
        <v>0.30000000000000071</v>
      </c>
      <c r="G28" s="75">
        <f>INDEX('4s.bezr.pow.'!B3:G29,MATCH(25,B4:B30,0),5)</f>
        <v>17.7</v>
      </c>
      <c r="H28" s="24">
        <f>INDEX('4s.bezr.pow.'!B3:G29,MATCH(25,B4:B30,0),6)</f>
        <v>-1.0999999999999979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18.3</v>
      </c>
      <c r="E29" s="71">
        <f>INDEX('4s.bezr.pow.'!B3:G29,MATCH(26,B4:B30,0),3)</f>
        <v>17.399999999999999</v>
      </c>
      <c r="F29" s="38">
        <f>INDEX('4s.bezr.pow.'!B3:G29,MATCH(26,B4:B30,0),4)</f>
        <v>0.90000000000000213</v>
      </c>
      <c r="G29" s="71">
        <f>INDEX('4s.bezr.pow.'!B3:G29,MATCH(26,B4:B30,0),5)</f>
        <v>18.899999999999999</v>
      </c>
      <c r="H29" s="38">
        <f>INDEX('4s.bezr.pow.'!B3:G29,MATCH(26,B4:B30,0),6)</f>
        <v>-0.59999999999999787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20.3</v>
      </c>
      <c r="E30" s="75">
        <f>INDEX('4s.bezr.pow.'!B3:G29,MATCH(27,B4:B30,0),3)</f>
        <v>19.899999999999999</v>
      </c>
      <c r="F30" s="8">
        <f>INDEX('4s.bezr.pow.'!B3:G29,MATCH(27,B4:B30,0),4)</f>
        <v>0.40000000000000213</v>
      </c>
      <c r="G30" s="75">
        <f>INDEX('4s.bezr.pow.'!B3:G29,MATCH(27,B4:B30,0),5)</f>
        <v>20.9</v>
      </c>
      <c r="H30" s="8">
        <f>INDEX('4s.bezr.pow.'!B3:G29,MATCH(27,B4:B30,0),6)</f>
        <v>-0.59999999999999787</v>
      </c>
    </row>
    <row r="31" spans="1:8" x14ac:dyDescent="0.2">
      <c r="C31" s="52" t="str">
        <f>T('4s.bezr.pow.'!B30)</f>
        <v xml:space="preserve">* GUS, Bank Danych Lokalnych </v>
      </c>
    </row>
    <row r="32" spans="1:8" x14ac:dyDescent="0.2">
      <c r="C32" s="162"/>
    </row>
  </sheetData>
  <pageMargins left="0" right="0" top="0.31496062992125984" bottom="0" header="0" footer="0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3" style="3" customWidth="1"/>
    <col min="9" max="9" width="24.5703125" style="3" customWidth="1"/>
    <col min="10" max="10" width="16" style="3" customWidth="1"/>
    <col min="11" max="11" width="17.42578125" style="3" customWidth="1"/>
    <col min="12" max="12" width="14.42578125" style="3" customWidth="1"/>
    <col min="13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84</v>
      </c>
    </row>
    <row r="2" spans="1:12" ht="86.25" customHeight="1" x14ac:dyDescent="0.2">
      <c r="B2" s="55" t="s">
        <v>27</v>
      </c>
      <c r="C2" s="56" t="s">
        <v>139</v>
      </c>
      <c r="D2" s="57" t="s">
        <v>137</v>
      </c>
      <c r="E2" s="56" t="s">
        <v>28</v>
      </c>
      <c r="F2" s="57" t="s">
        <v>138</v>
      </c>
      <c r="G2" s="56" t="s">
        <v>26</v>
      </c>
      <c r="I2" s="55" t="s">
        <v>27</v>
      </c>
      <c r="J2" s="56" t="str">
        <f>T('1bezr.'!C2)</f>
        <v>liczba bezrobotnych ogółem stan na 30 XI '23 r.</v>
      </c>
      <c r="K2" s="56" t="str">
        <f>T(C2)</f>
        <v>liczba bezrobotnych zam. na wsi stan na 30 XI '23 r.</v>
      </c>
      <c r="L2" s="56" t="s">
        <v>93</v>
      </c>
    </row>
    <row r="3" spans="1:12" x14ac:dyDescent="0.2">
      <c r="A3" s="3">
        <v>1</v>
      </c>
      <c r="B3" s="5" t="s">
        <v>0</v>
      </c>
      <c r="C3" s="13">
        <v>650</v>
      </c>
      <c r="D3" s="61">
        <v>623</v>
      </c>
      <c r="E3" s="6">
        <f t="shared" ref="E3:E23" si="0">SUM(C3)-D3</f>
        <v>27</v>
      </c>
      <c r="F3" s="61">
        <v>673</v>
      </c>
      <c r="G3" s="6">
        <f t="shared" ref="G3:G23" si="1">SUM(C3)-F3</f>
        <v>-23</v>
      </c>
      <c r="H3" s="7"/>
      <c r="I3" s="5" t="s">
        <v>0</v>
      </c>
      <c r="J3" s="6">
        <f>SUM('1bezr.'!C3)</f>
        <v>1035</v>
      </c>
      <c r="K3" s="6">
        <f>SUM(C3)</f>
        <v>650</v>
      </c>
      <c r="L3" s="8">
        <f t="shared" ref="L3:L23" si="2">SUM(K3)/J3*100</f>
        <v>62.80193236714976</v>
      </c>
    </row>
    <row r="4" spans="1:12" x14ac:dyDescent="0.2">
      <c r="A4" s="3">
        <v>2</v>
      </c>
      <c r="B4" s="5" t="s">
        <v>1</v>
      </c>
      <c r="C4" s="14">
        <v>3445</v>
      </c>
      <c r="D4" s="61">
        <v>3352</v>
      </c>
      <c r="E4" s="6">
        <f t="shared" si="0"/>
        <v>93</v>
      </c>
      <c r="F4" s="61">
        <v>3642</v>
      </c>
      <c r="G4" s="6">
        <f t="shared" si="1"/>
        <v>-197</v>
      </c>
      <c r="H4" s="7"/>
      <c r="I4" s="5" t="s">
        <v>1</v>
      </c>
      <c r="J4" s="6">
        <f>SUM('1bezr.'!C4)</f>
        <v>3736</v>
      </c>
      <c r="K4" s="6">
        <f t="shared" ref="K4:K22" si="3">SUM(C4)</f>
        <v>3445</v>
      </c>
      <c r="L4" s="8">
        <f t="shared" si="2"/>
        <v>92.210920770877948</v>
      </c>
    </row>
    <row r="5" spans="1:12" x14ac:dyDescent="0.2">
      <c r="A5" s="3">
        <v>3</v>
      </c>
      <c r="B5" s="5" t="s">
        <v>2</v>
      </c>
      <c r="C5" s="15">
        <v>1416</v>
      </c>
      <c r="D5" s="61">
        <v>1386</v>
      </c>
      <c r="E5" s="6">
        <f t="shared" si="0"/>
        <v>30</v>
      </c>
      <c r="F5" s="61">
        <v>1464</v>
      </c>
      <c r="G5" s="6">
        <f t="shared" si="1"/>
        <v>-48</v>
      </c>
      <c r="H5" s="7"/>
      <c r="I5" s="5" t="s">
        <v>2</v>
      </c>
      <c r="J5" s="6">
        <f>SUM('1bezr.'!C5)</f>
        <v>2400</v>
      </c>
      <c r="K5" s="6">
        <f t="shared" si="3"/>
        <v>1416</v>
      </c>
      <c r="L5" s="8">
        <f t="shared" si="2"/>
        <v>59</v>
      </c>
    </row>
    <row r="6" spans="1:12" x14ac:dyDescent="0.2">
      <c r="A6" s="3">
        <v>4</v>
      </c>
      <c r="B6" s="5" t="s">
        <v>3</v>
      </c>
      <c r="C6" s="15">
        <v>2563</v>
      </c>
      <c r="D6" s="61">
        <v>2554</v>
      </c>
      <c r="E6" s="6">
        <f t="shared" si="0"/>
        <v>9</v>
      </c>
      <c r="F6" s="61">
        <v>2898</v>
      </c>
      <c r="G6" s="6">
        <f t="shared" si="1"/>
        <v>-335</v>
      </c>
      <c r="H6" s="7"/>
      <c r="I6" s="5" t="s">
        <v>3</v>
      </c>
      <c r="J6" s="6">
        <f>SUM('1bezr.'!C6)</f>
        <v>4167</v>
      </c>
      <c r="K6" s="6">
        <f t="shared" si="3"/>
        <v>2563</v>
      </c>
      <c r="L6" s="8">
        <f t="shared" si="2"/>
        <v>61.507079433645309</v>
      </c>
    </row>
    <row r="7" spans="1:12" x14ac:dyDescent="0.2">
      <c r="A7" s="3">
        <v>5</v>
      </c>
      <c r="B7" s="5" t="s">
        <v>4</v>
      </c>
      <c r="C7" s="15">
        <v>3533</v>
      </c>
      <c r="D7" s="61">
        <v>3427</v>
      </c>
      <c r="E7" s="6">
        <f t="shared" si="0"/>
        <v>106</v>
      </c>
      <c r="F7" s="61">
        <v>3432</v>
      </c>
      <c r="G7" s="6">
        <f t="shared" si="1"/>
        <v>101</v>
      </c>
      <c r="H7" s="7"/>
      <c r="I7" s="5" t="s">
        <v>4</v>
      </c>
      <c r="J7" s="6">
        <f>SUM('1bezr.'!C7)</f>
        <v>4968</v>
      </c>
      <c r="K7" s="6">
        <f t="shared" si="3"/>
        <v>3533</v>
      </c>
      <c r="L7" s="8">
        <f t="shared" si="2"/>
        <v>71.115136876006446</v>
      </c>
    </row>
    <row r="8" spans="1:12" x14ac:dyDescent="0.2">
      <c r="A8" s="3">
        <v>6</v>
      </c>
      <c r="B8" s="5" t="s">
        <v>5</v>
      </c>
      <c r="C8" s="15">
        <v>1301</v>
      </c>
      <c r="D8" s="61">
        <v>1288</v>
      </c>
      <c r="E8" s="6">
        <f t="shared" si="0"/>
        <v>13</v>
      </c>
      <c r="F8" s="61">
        <v>1361</v>
      </c>
      <c r="G8" s="6">
        <f t="shared" si="1"/>
        <v>-60</v>
      </c>
      <c r="H8" s="7"/>
      <c r="I8" s="5" t="s">
        <v>5</v>
      </c>
      <c r="J8" s="6">
        <f>SUM('1bezr.'!C8)</f>
        <v>1478</v>
      </c>
      <c r="K8" s="6">
        <f t="shared" si="3"/>
        <v>1301</v>
      </c>
      <c r="L8" s="8">
        <f t="shared" si="2"/>
        <v>88.024357239512852</v>
      </c>
    </row>
    <row r="9" spans="1:12" x14ac:dyDescent="0.2">
      <c r="A9" s="3">
        <v>7</v>
      </c>
      <c r="B9" s="9" t="s">
        <v>6</v>
      </c>
      <c r="C9" s="16">
        <v>1919</v>
      </c>
      <c r="D9" s="61">
        <v>1872</v>
      </c>
      <c r="E9" s="6">
        <f t="shared" si="0"/>
        <v>47</v>
      </c>
      <c r="F9" s="61">
        <v>1736</v>
      </c>
      <c r="G9" s="6">
        <f t="shared" si="1"/>
        <v>183</v>
      </c>
      <c r="H9" s="7"/>
      <c r="I9" s="9" t="s">
        <v>6</v>
      </c>
      <c r="J9" s="6">
        <f>SUM('1bezr.'!C9)</f>
        <v>2136</v>
      </c>
      <c r="K9" s="6">
        <f t="shared" si="3"/>
        <v>1919</v>
      </c>
      <c r="L9" s="8">
        <f t="shared" si="2"/>
        <v>89.840823970037448</v>
      </c>
    </row>
    <row r="10" spans="1:12" x14ac:dyDescent="0.2">
      <c r="A10" s="3">
        <v>8</v>
      </c>
      <c r="B10" s="5" t="s">
        <v>7</v>
      </c>
      <c r="C10" s="17">
        <v>1390</v>
      </c>
      <c r="D10" s="61">
        <v>1291</v>
      </c>
      <c r="E10" s="6">
        <f t="shared" si="0"/>
        <v>99</v>
      </c>
      <c r="F10" s="61">
        <v>1376</v>
      </c>
      <c r="G10" s="6">
        <f>SUM(C10)-F10</f>
        <v>14</v>
      </c>
      <c r="H10" s="7"/>
      <c r="I10" s="5" t="s">
        <v>7</v>
      </c>
      <c r="J10" s="6">
        <f>SUM('1bezr.'!C10)</f>
        <v>1667</v>
      </c>
      <c r="K10" s="6">
        <f>SUM(C10)</f>
        <v>1390</v>
      </c>
      <c r="L10" s="8">
        <f t="shared" si="2"/>
        <v>83.383323335332932</v>
      </c>
    </row>
    <row r="11" spans="1:12" x14ac:dyDescent="0.2">
      <c r="A11" s="3">
        <v>9</v>
      </c>
      <c r="B11" s="5" t="s">
        <v>8</v>
      </c>
      <c r="C11" s="17">
        <v>2263</v>
      </c>
      <c r="D11" s="61">
        <v>2216</v>
      </c>
      <c r="E11" s="6">
        <f t="shared" si="0"/>
        <v>47</v>
      </c>
      <c r="F11" s="61">
        <v>2355</v>
      </c>
      <c r="G11" s="6">
        <f t="shared" si="1"/>
        <v>-92</v>
      </c>
      <c r="H11" s="7"/>
      <c r="I11" s="5" t="s">
        <v>8</v>
      </c>
      <c r="J11" s="6">
        <f>SUM('1bezr.'!C11)</f>
        <v>2975</v>
      </c>
      <c r="K11" s="6">
        <f t="shared" si="3"/>
        <v>2263</v>
      </c>
      <c r="L11" s="8">
        <f t="shared" si="2"/>
        <v>76.067226890756302</v>
      </c>
    </row>
    <row r="12" spans="1:12" x14ac:dyDescent="0.2">
      <c r="A12" s="3">
        <v>10</v>
      </c>
      <c r="B12" s="5" t="s">
        <v>9</v>
      </c>
      <c r="C12" s="17">
        <v>1163</v>
      </c>
      <c r="D12" s="61">
        <v>1105</v>
      </c>
      <c r="E12" s="6">
        <f t="shared" si="0"/>
        <v>58</v>
      </c>
      <c r="F12" s="61">
        <v>1196</v>
      </c>
      <c r="G12" s="6">
        <f t="shared" si="1"/>
        <v>-33</v>
      </c>
      <c r="H12" s="7"/>
      <c r="I12" s="5" t="s">
        <v>9</v>
      </c>
      <c r="J12" s="6">
        <f>SUM('1bezr.'!C12)</f>
        <v>1760</v>
      </c>
      <c r="K12" s="6">
        <f t="shared" si="3"/>
        <v>1163</v>
      </c>
      <c r="L12" s="8">
        <f t="shared" si="2"/>
        <v>66.079545454545453</v>
      </c>
    </row>
    <row r="13" spans="1:12" x14ac:dyDescent="0.2">
      <c r="A13" s="3">
        <v>11</v>
      </c>
      <c r="B13" s="5" t="s">
        <v>10</v>
      </c>
      <c r="C13" s="17">
        <v>1904</v>
      </c>
      <c r="D13" s="61">
        <v>1879</v>
      </c>
      <c r="E13" s="6">
        <f t="shared" si="0"/>
        <v>25</v>
      </c>
      <c r="F13" s="61">
        <v>2023</v>
      </c>
      <c r="G13" s="6">
        <f t="shared" si="1"/>
        <v>-119</v>
      </c>
      <c r="H13" s="7"/>
      <c r="I13" s="5" t="s">
        <v>10</v>
      </c>
      <c r="J13" s="6">
        <f>SUM('1bezr.'!C13)</f>
        <v>2413</v>
      </c>
      <c r="K13" s="6">
        <f t="shared" si="3"/>
        <v>1904</v>
      </c>
      <c r="L13" s="8">
        <f t="shared" si="2"/>
        <v>78.905926232905102</v>
      </c>
    </row>
    <row r="14" spans="1:12" x14ac:dyDescent="0.2">
      <c r="A14" s="3">
        <v>12</v>
      </c>
      <c r="B14" s="5" t="s">
        <v>11</v>
      </c>
      <c r="C14" s="17">
        <v>1493</v>
      </c>
      <c r="D14" s="61">
        <v>1466</v>
      </c>
      <c r="E14" s="6">
        <f t="shared" si="0"/>
        <v>27</v>
      </c>
      <c r="F14" s="61">
        <v>1280</v>
      </c>
      <c r="G14" s="6">
        <f t="shared" si="1"/>
        <v>213</v>
      </c>
      <c r="H14" s="7"/>
      <c r="I14" s="5" t="s">
        <v>11</v>
      </c>
      <c r="J14" s="6">
        <f>SUM('1bezr.'!C14)</f>
        <v>2942</v>
      </c>
      <c r="K14" s="6">
        <f t="shared" si="3"/>
        <v>1493</v>
      </c>
      <c r="L14" s="8">
        <f t="shared" si="2"/>
        <v>50.747790618626787</v>
      </c>
    </row>
    <row r="15" spans="1:12" x14ac:dyDescent="0.2">
      <c r="A15" s="3">
        <v>13</v>
      </c>
      <c r="B15" s="5" t="s">
        <v>12</v>
      </c>
      <c r="C15" s="17">
        <v>1950</v>
      </c>
      <c r="D15" s="61">
        <v>1925</v>
      </c>
      <c r="E15" s="6">
        <f t="shared" si="0"/>
        <v>25</v>
      </c>
      <c r="F15" s="61">
        <v>1952</v>
      </c>
      <c r="G15" s="6">
        <f t="shared" si="1"/>
        <v>-2</v>
      </c>
      <c r="H15" s="7"/>
      <c r="I15" s="5" t="s">
        <v>12</v>
      </c>
      <c r="J15" s="6">
        <f>SUM('1bezr.'!C15)</f>
        <v>2965</v>
      </c>
      <c r="K15" s="6">
        <f t="shared" si="3"/>
        <v>1950</v>
      </c>
      <c r="L15" s="8">
        <f t="shared" si="2"/>
        <v>65.767284991568303</v>
      </c>
    </row>
    <row r="16" spans="1:12" x14ac:dyDescent="0.2">
      <c r="A16" s="3">
        <v>14</v>
      </c>
      <c r="B16" s="5" t="s">
        <v>13</v>
      </c>
      <c r="C16" s="17">
        <v>2821</v>
      </c>
      <c r="D16" s="61">
        <v>2802</v>
      </c>
      <c r="E16" s="6">
        <f t="shared" si="0"/>
        <v>19</v>
      </c>
      <c r="F16" s="61">
        <v>2921</v>
      </c>
      <c r="G16" s="6">
        <f t="shared" si="1"/>
        <v>-100</v>
      </c>
      <c r="H16" s="7"/>
      <c r="I16" s="5" t="s">
        <v>13</v>
      </c>
      <c r="J16" s="6">
        <f>SUM('1bezr.'!C16)</f>
        <v>2839</v>
      </c>
      <c r="K16" s="6">
        <f t="shared" si="3"/>
        <v>2821</v>
      </c>
      <c r="L16" s="8">
        <f t="shared" si="2"/>
        <v>99.365973934483975</v>
      </c>
    </row>
    <row r="17" spans="1:13" x14ac:dyDescent="0.2">
      <c r="A17" s="3">
        <v>15</v>
      </c>
      <c r="B17" s="5" t="s">
        <v>14</v>
      </c>
      <c r="C17" s="17">
        <v>2495</v>
      </c>
      <c r="D17" s="61">
        <v>2491</v>
      </c>
      <c r="E17" s="6">
        <f t="shared" si="0"/>
        <v>4</v>
      </c>
      <c r="F17" s="61">
        <v>2666</v>
      </c>
      <c r="G17" s="6">
        <f t="shared" si="1"/>
        <v>-171</v>
      </c>
      <c r="H17" s="7"/>
      <c r="I17" s="5" t="s">
        <v>14</v>
      </c>
      <c r="J17" s="6">
        <f>SUM('1bezr.'!C17)</f>
        <v>3254</v>
      </c>
      <c r="K17" s="6">
        <f t="shared" si="3"/>
        <v>2495</v>
      </c>
      <c r="L17" s="8">
        <f t="shared" si="2"/>
        <v>76.674861708666256</v>
      </c>
      <c r="M17" s="10"/>
    </row>
    <row r="18" spans="1:13" x14ac:dyDescent="0.2">
      <c r="A18" s="3">
        <v>16</v>
      </c>
      <c r="B18" s="5" t="s">
        <v>15</v>
      </c>
      <c r="C18" s="17">
        <v>1607</v>
      </c>
      <c r="D18" s="61">
        <v>1644</v>
      </c>
      <c r="E18" s="6">
        <f t="shared" si="0"/>
        <v>-37</v>
      </c>
      <c r="F18" s="61">
        <v>1772</v>
      </c>
      <c r="G18" s="6">
        <f t="shared" si="1"/>
        <v>-165</v>
      </c>
      <c r="H18" s="7"/>
      <c r="I18" s="5" t="s">
        <v>15</v>
      </c>
      <c r="J18" s="6">
        <f>SUM('1bezr.'!C18)</f>
        <v>2495</v>
      </c>
      <c r="K18" s="6">
        <f t="shared" si="3"/>
        <v>1607</v>
      </c>
      <c r="L18" s="8">
        <f t="shared" si="2"/>
        <v>64.408817635270537</v>
      </c>
    </row>
    <row r="19" spans="1:13" x14ac:dyDescent="0.2">
      <c r="A19" s="3">
        <v>17</v>
      </c>
      <c r="B19" s="5" t="s">
        <v>16</v>
      </c>
      <c r="C19" s="17">
        <v>3681</v>
      </c>
      <c r="D19" s="61">
        <v>3602</v>
      </c>
      <c r="E19" s="6">
        <f t="shared" si="0"/>
        <v>79</v>
      </c>
      <c r="F19" s="61">
        <v>3904</v>
      </c>
      <c r="G19" s="6">
        <f t="shared" si="1"/>
        <v>-223</v>
      </c>
      <c r="H19" s="7"/>
      <c r="I19" s="5" t="s">
        <v>16</v>
      </c>
      <c r="J19" s="6">
        <f>SUM('1bezr.'!C19)</f>
        <v>4647</v>
      </c>
      <c r="K19" s="6">
        <f t="shared" si="3"/>
        <v>3681</v>
      </c>
      <c r="L19" s="8">
        <f t="shared" si="2"/>
        <v>79.212395093608777</v>
      </c>
    </row>
    <row r="20" spans="1:13" x14ac:dyDescent="0.2">
      <c r="A20" s="3">
        <v>18</v>
      </c>
      <c r="B20" s="5" t="s">
        <v>17</v>
      </c>
      <c r="C20" s="17">
        <v>1564</v>
      </c>
      <c r="D20" s="61">
        <v>1556</v>
      </c>
      <c r="E20" s="6">
        <f t="shared" si="0"/>
        <v>8</v>
      </c>
      <c r="F20" s="61">
        <v>1515</v>
      </c>
      <c r="G20" s="6">
        <f t="shared" si="1"/>
        <v>49</v>
      </c>
      <c r="H20" s="7"/>
      <c r="I20" s="5" t="s">
        <v>17</v>
      </c>
      <c r="J20" s="6">
        <f>SUM('1bezr.'!C20)</f>
        <v>2700</v>
      </c>
      <c r="K20" s="6">
        <f t="shared" si="3"/>
        <v>1564</v>
      </c>
      <c r="L20" s="8">
        <f t="shared" si="2"/>
        <v>57.925925925925924</v>
      </c>
    </row>
    <row r="21" spans="1:13" x14ac:dyDescent="0.2">
      <c r="A21" s="3">
        <v>19</v>
      </c>
      <c r="B21" s="5" t="s">
        <v>18</v>
      </c>
      <c r="C21" s="17">
        <v>752</v>
      </c>
      <c r="D21" s="61">
        <v>746</v>
      </c>
      <c r="E21" s="6">
        <f t="shared" si="0"/>
        <v>6</v>
      </c>
      <c r="F21" s="61">
        <v>732</v>
      </c>
      <c r="G21" s="6">
        <f t="shared" si="1"/>
        <v>20</v>
      </c>
      <c r="H21" s="7"/>
      <c r="I21" s="5" t="s">
        <v>18</v>
      </c>
      <c r="J21" s="6">
        <f>SUM('1bezr.'!C21)</f>
        <v>1918</v>
      </c>
      <c r="K21" s="6">
        <f t="shared" si="3"/>
        <v>752</v>
      </c>
      <c r="L21" s="8">
        <f t="shared" si="2"/>
        <v>39.207507820646512</v>
      </c>
    </row>
    <row r="22" spans="1:13" x14ac:dyDescent="0.2">
      <c r="A22" s="3">
        <v>20</v>
      </c>
      <c r="B22" s="5" t="s">
        <v>19</v>
      </c>
      <c r="C22" s="17">
        <v>2697</v>
      </c>
      <c r="D22" s="61">
        <v>2629</v>
      </c>
      <c r="E22" s="6">
        <f t="shared" si="0"/>
        <v>68</v>
      </c>
      <c r="F22" s="61">
        <v>2845</v>
      </c>
      <c r="G22" s="6">
        <f t="shared" si="1"/>
        <v>-148</v>
      </c>
      <c r="H22" s="7"/>
      <c r="I22" s="5" t="s">
        <v>19</v>
      </c>
      <c r="J22" s="6">
        <f>SUM('1bezr.'!C22)</f>
        <v>2999</v>
      </c>
      <c r="K22" s="6">
        <f t="shared" si="3"/>
        <v>2697</v>
      </c>
      <c r="L22" s="8">
        <f t="shared" si="2"/>
        <v>89.929976658886289</v>
      </c>
    </row>
    <row r="23" spans="1:13" x14ac:dyDescent="0.2">
      <c r="A23" s="3">
        <v>21</v>
      </c>
      <c r="B23" s="5" t="s">
        <v>20</v>
      </c>
      <c r="C23" s="17">
        <v>1031</v>
      </c>
      <c r="D23" s="61">
        <v>1024</v>
      </c>
      <c r="E23" s="6">
        <f t="shared" si="0"/>
        <v>7</v>
      </c>
      <c r="F23" s="61">
        <v>1028</v>
      </c>
      <c r="G23" s="6">
        <f t="shared" si="1"/>
        <v>3</v>
      </c>
      <c r="H23" s="7"/>
      <c r="I23" s="5" t="s">
        <v>20</v>
      </c>
      <c r="J23" s="6">
        <f>SUM('1bezr.'!C23)</f>
        <v>1255</v>
      </c>
      <c r="K23" s="6">
        <f>SUM(C23)</f>
        <v>1031</v>
      </c>
      <c r="L23" s="8">
        <f t="shared" si="2"/>
        <v>82.151394422310759</v>
      </c>
    </row>
    <row r="24" spans="1:13" ht="15" x14ac:dyDescent="0.25">
      <c r="A24" s="3">
        <v>22</v>
      </c>
      <c r="B24" s="58" t="s">
        <v>25</v>
      </c>
      <c r="C24" s="59">
        <f>SUM(C3:C23)</f>
        <v>41638</v>
      </c>
      <c r="D24" s="63">
        <f>SUM(D3:D23)</f>
        <v>40878</v>
      </c>
      <c r="E24" s="59">
        <f>SUM(E3:E23)</f>
        <v>760</v>
      </c>
      <c r="F24" s="63">
        <f>SUM(F3:F23)</f>
        <v>42771</v>
      </c>
      <c r="G24" s="59">
        <f>SUM(G3:G23)</f>
        <v>-1133</v>
      </c>
      <c r="H24" s="7"/>
      <c r="I24" s="5" t="s">
        <v>21</v>
      </c>
      <c r="J24" s="6">
        <f>SUM('1bezr.'!C24)</f>
        <v>774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2307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5082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1046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65958</v>
      </c>
      <c r="K28" s="59">
        <f>SUM(K3:K23)</f>
        <v>41638</v>
      </c>
      <c r="L28" s="74">
        <f>SUM(K28)/J28*100</f>
        <v>63.128051184086843</v>
      </c>
    </row>
    <row r="30" spans="1:13" x14ac:dyDescent="0.2">
      <c r="K30" s="19">
        <f>SUM(K28-J28)</f>
        <v>-24320</v>
      </c>
    </row>
  </sheetData>
  <printOptions horizontalCentered="1" verticalCentered="1"/>
  <pageMargins left="0" right="0" top="0" bottom="0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2023-10-27T11:31:02Z</cp:lastPrinted>
  <dcterms:created xsi:type="dcterms:W3CDTF">2016-08-02T05:46:03Z</dcterms:created>
  <dcterms:modified xsi:type="dcterms:W3CDTF">2024-01-04T10:57:58Z</dcterms:modified>
</cp:coreProperties>
</file>